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6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arce\Dropbox\_Brasil Akut\_C Ferramentas e Instrumentos de EE\C7 Manual Tarifação\"/>
    </mc:Choice>
  </mc:AlternateContent>
  <bookViews>
    <workbookView xWindow="0" yWindow="0" windowWidth="20490" windowHeight="6930"/>
  </bookViews>
  <sheets>
    <sheet name="Resultados Simulações" sheetId="5" r:id="rId1"/>
    <sheet name="Demanda Contratada" sheetId="1" r:id="rId2"/>
    <sheet name="Modalidade Azul" sheetId="2" r:id="rId3"/>
    <sheet name="Modalidade Verde" sheetId="3" r:id="rId4"/>
    <sheet name="Modalidade Convencional" sheetId="4" r:id="rId5"/>
    <sheet name="Baixa Tensão" sheetId="6" r:id="rId6"/>
    <sheet name="Custos Demanda Não Utilizada" sheetId="7" r:id="rId7"/>
    <sheet name="Apoio" sheetId="8" state="hidden" r:id="rId8"/>
  </sheets>
  <definedNames>
    <definedName name="_xlnm.Print_Area" localSheetId="5">'Baixa Tensão'!$A$3:$G$44</definedName>
    <definedName name="_xlnm.Print_Area" localSheetId="2">'Modalidade Azul'!$A$3:$I$48</definedName>
    <definedName name="_xlnm.Print_Area" localSheetId="4">'Modalidade Convencional'!$A$3:$I$46</definedName>
    <definedName name="_xlnm.Print_Area" localSheetId="3">'Modalidade Verde'!$A$3:$I$47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6" l="1"/>
  <c r="A33" i="6"/>
  <c r="A34" i="6"/>
  <c r="A35" i="6"/>
  <c r="A36" i="6"/>
  <c r="A37" i="6"/>
  <c r="A38" i="6"/>
  <c r="A39" i="6"/>
  <c r="A40" i="6"/>
  <c r="A41" i="6"/>
  <c r="A42" i="6"/>
  <c r="A31" i="6"/>
  <c r="A29" i="6"/>
  <c r="B8" i="6"/>
  <c r="C39" i="4"/>
  <c r="E29" i="4"/>
  <c r="D29" i="4"/>
  <c r="C29" i="4"/>
  <c r="B29" i="4"/>
  <c r="A29" i="4"/>
  <c r="B29" i="3"/>
  <c r="J29" i="3" s="1"/>
  <c r="A29" i="3"/>
  <c r="I29" i="3" s="1"/>
  <c r="C34" i="2"/>
  <c r="C35" i="2"/>
  <c r="C36" i="2"/>
  <c r="C37" i="2"/>
  <c r="C38" i="2"/>
  <c r="C39" i="2"/>
  <c r="C40" i="2"/>
  <c r="C41" i="2"/>
  <c r="C42" i="2"/>
  <c r="C43" i="2"/>
  <c r="C44" i="2"/>
  <c r="C33" i="2"/>
  <c r="B30" i="2"/>
  <c r="J30" i="2" s="1"/>
  <c r="A30" i="2"/>
  <c r="I30" i="2" s="1"/>
  <c r="E29" i="6"/>
  <c r="B9" i="6"/>
  <c r="E9" i="6" s="1"/>
  <c r="G8" i="6"/>
  <c r="B7" i="6"/>
  <c r="D7" i="6" s="1"/>
  <c r="C29" i="3" l="1"/>
  <c r="G29" i="3"/>
  <c r="D29" i="3"/>
  <c r="H29" i="3"/>
  <c r="E29" i="3"/>
  <c r="F29" i="3"/>
  <c r="C30" i="2"/>
  <c r="G30" i="2"/>
  <c r="D30" i="2"/>
  <c r="H30" i="2"/>
  <c r="E30" i="2"/>
  <c r="F30" i="2"/>
  <c r="B29" i="6"/>
  <c r="C29" i="6"/>
  <c r="D29" i="6"/>
  <c r="C8" i="6"/>
  <c r="C7" i="6"/>
  <c r="E7" i="6"/>
  <c r="E8" i="6"/>
  <c r="D9" i="6"/>
  <c r="C9" i="6"/>
  <c r="D8" i="6"/>
  <c r="G7" i="6"/>
  <c r="G9" i="6"/>
  <c r="J10" i="6"/>
  <c r="K10" i="6" s="1"/>
  <c r="G25" i="6" s="1"/>
  <c r="C13" i="5" l="1"/>
  <c r="A23" i="7" l="1"/>
  <c r="A24" i="7"/>
  <c r="A25" i="7"/>
  <c r="A26" i="7"/>
  <c r="A27" i="7"/>
  <c r="A28" i="7"/>
  <c r="A29" i="7"/>
  <c r="A30" i="7"/>
  <c r="A31" i="7"/>
  <c r="A32" i="7"/>
  <c r="A33" i="7"/>
  <c r="A22" i="7"/>
  <c r="A7" i="7"/>
  <c r="A8" i="7"/>
  <c r="A9" i="7"/>
  <c r="A10" i="7"/>
  <c r="A11" i="7"/>
  <c r="A12" i="7"/>
  <c r="A13" i="7"/>
  <c r="A14" i="7"/>
  <c r="A15" i="7"/>
  <c r="A16" i="7"/>
  <c r="A17" i="7"/>
  <c r="A6" i="7"/>
  <c r="G23" i="7"/>
  <c r="G7" i="7"/>
  <c r="A12" i="6"/>
  <c r="A13" i="6"/>
  <c r="A14" i="6"/>
  <c r="A15" i="6"/>
  <c r="A16" i="6"/>
  <c r="A17" i="6"/>
  <c r="A18" i="6"/>
  <c r="A19" i="6"/>
  <c r="A20" i="6"/>
  <c r="A21" i="6"/>
  <c r="A22" i="6"/>
  <c r="A11" i="6"/>
  <c r="C33" i="3"/>
  <c r="A32" i="4" s="1"/>
  <c r="C34" i="3"/>
  <c r="A33" i="4" s="1"/>
  <c r="C35" i="3"/>
  <c r="A34" i="4" s="1"/>
  <c r="C36" i="3"/>
  <c r="A35" i="4" s="1"/>
  <c r="C37" i="3"/>
  <c r="A36" i="4" s="1"/>
  <c r="C38" i="3"/>
  <c r="A37" i="4" s="1"/>
  <c r="C39" i="3"/>
  <c r="A38" i="4" s="1"/>
  <c r="C40" i="3"/>
  <c r="A39" i="4" s="1"/>
  <c r="C41" i="3"/>
  <c r="A40" i="4" s="1"/>
  <c r="C42" i="3"/>
  <c r="A41" i="4" s="1"/>
  <c r="C43" i="3"/>
  <c r="A42" i="4" s="1"/>
  <c r="C32" i="3"/>
  <c r="A31" i="4" s="1"/>
  <c r="A10" i="3"/>
  <c r="A11" i="4" s="1"/>
  <c r="A11" i="3"/>
  <c r="A12" i="4" s="1"/>
  <c r="A12" i="3"/>
  <c r="A13" i="4" s="1"/>
  <c r="A13" i="3"/>
  <c r="A14" i="4" s="1"/>
  <c r="A14" i="3"/>
  <c r="A15" i="4" s="1"/>
  <c r="A15" i="3"/>
  <c r="A16" i="4" s="1"/>
  <c r="A16" i="3"/>
  <c r="A17" i="4" s="1"/>
  <c r="A17" i="3"/>
  <c r="A18" i="4" s="1"/>
  <c r="A18" i="3"/>
  <c r="A19" i="4" s="1"/>
  <c r="A19" i="3"/>
  <c r="A20" i="4" s="1"/>
  <c r="A20" i="3"/>
  <c r="A21" i="4" s="1"/>
  <c r="A9" i="3"/>
  <c r="A10" i="4" s="1"/>
  <c r="D7" i="3"/>
  <c r="D8" i="4" l="1"/>
  <c r="G35" i="2" l="1"/>
  <c r="F34" i="2"/>
  <c r="F7" i="2"/>
  <c r="D7" i="2"/>
  <c r="G34" i="2"/>
  <c r="G38" i="2"/>
  <c r="F37" i="2" l="1"/>
  <c r="G44" i="2"/>
  <c r="G40" i="2"/>
  <c r="F35" i="2"/>
  <c r="F33" i="2"/>
  <c r="G42" i="2"/>
  <c r="F43" i="2"/>
  <c r="F39" i="2"/>
  <c r="G33" i="2"/>
  <c r="G43" i="2"/>
  <c r="G41" i="2"/>
  <c r="G39" i="2"/>
  <c r="G36" i="2"/>
  <c r="G37" i="2"/>
  <c r="F41" i="2"/>
  <c r="F44" i="2"/>
  <c r="F42" i="2"/>
  <c r="F40" i="2"/>
  <c r="F38" i="2"/>
  <c r="F36" i="2"/>
  <c r="D39" i="7" l="1"/>
  <c r="D33" i="7"/>
  <c r="F20" i="7"/>
  <c r="F4" i="7"/>
  <c r="B23" i="7"/>
  <c r="B24" i="7"/>
  <c r="B25" i="7"/>
  <c r="B26" i="7"/>
  <c r="B27" i="7"/>
  <c r="B28" i="7"/>
  <c r="B29" i="7"/>
  <c r="B30" i="7"/>
  <c r="B31" i="7"/>
  <c r="B32" i="7"/>
  <c r="B33" i="7"/>
  <c r="B22" i="7"/>
  <c r="B7" i="7"/>
  <c r="B8" i="7"/>
  <c r="B9" i="7"/>
  <c r="B10" i="7"/>
  <c r="B11" i="7"/>
  <c r="B12" i="7"/>
  <c r="B13" i="7"/>
  <c r="B14" i="7"/>
  <c r="B15" i="7"/>
  <c r="B16" i="7"/>
  <c r="B17" i="7"/>
  <c r="B6" i="7"/>
  <c r="E7" i="3"/>
  <c r="B39" i="7" s="1"/>
  <c r="D20" i="7"/>
  <c r="D4" i="7"/>
  <c r="D12" i="6"/>
  <c r="G12" i="6" s="1"/>
  <c r="D13" i="6"/>
  <c r="G13" i="6" s="1"/>
  <c r="D14" i="6"/>
  <c r="G14" i="6" s="1"/>
  <c r="D15" i="6"/>
  <c r="G15" i="6" s="1"/>
  <c r="D16" i="6"/>
  <c r="G16" i="6" s="1"/>
  <c r="D17" i="6"/>
  <c r="G17" i="6" s="1"/>
  <c r="D18" i="6"/>
  <c r="G18" i="6" s="1"/>
  <c r="D19" i="6"/>
  <c r="G19" i="6" s="1"/>
  <c r="D20" i="6"/>
  <c r="G20" i="6" s="1"/>
  <c r="D21" i="6"/>
  <c r="G21" i="6" s="1"/>
  <c r="D22" i="6"/>
  <c r="G22" i="6" s="1"/>
  <c r="B12" i="6"/>
  <c r="E12" i="6" s="1"/>
  <c r="B13" i="6"/>
  <c r="E13" i="6" s="1"/>
  <c r="B14" i="6"/>
  <c r="E14" i="6" s="1"/>
  <c r="B15" i="6"/>
  <c r="E15" i="6" s="1"/>
  <c r="B16" i="6"/>
  <c r="E16" i="6" s="1"/>
  <c r="B17" i="6"/>
  <c r="E17" i="6" s="1"/>
  <c r="B18" i="6"/>
  <c r="E18" i="6" s="1"/>
  <c r="B19" i="6"/>
  <c r="E19" i="6" s="1"/>
  <c r="B20" i="6"/>
  <c r="E20" i="6" s="1"/>
  <c r="B21" i="6"/>
  <c r="E21" i="6" s="1"/>
  <c r="B22" i="6"/>
  <c r="E22" i="6" s="1"/>
  <c r="D11" i="6"/>
  <c r="G11" i="6" s="1"/>
  <c r="B11" i="6"/>
  <c r="E11" i="6" s="1"/>
  <c r="B11" i="4"/>
  <c r="B12" i="4"/>
  <c r="B13" i="4"/>
  <c r="B14" i="4"/>
  <c r="B15" i="4"/>
  <c r="B16" i="4"/>
  <c r="B17" i="4"/>
  <c r="B18" i="4"/>
  <c r="B19" i="4"/>
  <c r="B20" i="4"/>
  <c r="B21" i="4"/>
  <c r="B10" i="4"/>
  <c r="B10" i="3"/>
  <c r="B42" i="7" s="1"/>
  <c r="B11" i="3"/>
  <c r="B43" i="7" s="1"/>
  <c r="B12" i="3"/>
  <c r="B44" i="7" s="1"/>
  <c r="B13" i="3"/>
  <c r="B45" i="7" s="1"/>
  <c r="B14" i="3"/>
  <c r="B46" i="7" s="1"/>
  <c r="B15" i="3"/>
  <c r="B47" i="7" s="1"/>
  <c r="B16" i="3"/>
  <c r="B48" i="7" s="1"/>
  <c r="B17" i="3"/>
  <c r="B49" i="7" s="1"/>
  <c r="B18" i="3"/>
  <c r="B50" i="7" s="1"/>
  <c r="B19" i="3"/>
  <c r="B51" i="7" s="1"/>
  <c r="B20" i="3"/>
  <c r="B52" i="7" s="1"/>
  <c r="B9" i="3"/>
  <c r="B41" i="7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D39" i="4"/>
  <c r="C40" i="4"/>
  <c r="D40" i="4" s="1"/>
  <c r="C41" i="4"/>
  <c r="D41" i="4" s="1"/>
  <c r="C42" i="4"/>
  <c r="D42" i="4" s="1"/>
  <c r="B32" i="4"/>
  <c r="B33" i="4"/>
  <c r="B34" i="4"/>
  <c r="B35" i="4"/>
  <c r="B36" i="4"/>
  <c r="B37" i="4"/>
  <c r="B38" i="4"/>
  <c r="B39" i="4"/>
  <c r="B40" i="4"/>
  <c r="B41" i="4"/>
  <c r="B42" i="4"/>
  <c r="B31" i="4"/>
  <c r="E32" i="3"/>
  <c r="G32" i="3" s="1"/>
  <c r="E33" i="3"/>
  <c r="G33" i="3" s="1"/>
  <c r="E34" i="3"/>
  <c r="G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G42" i="3" s="1"/>
  <c r="E43" i="3"/>
  <c r="G43" i="3" s="1"/>
  <c r="D33" i="3"/>
  <c r="D34" i="3"/>
  <c r="D35" i="3"/>
  <c r="D36" i="3"/>
  <c r="D37" i="3"/>
  <c r="D38" i="3"/>
  <c r="D39" i="3"/>
  <c r="D40" i="3"/>
  <c r="D41" i="3"/>
  <c r="D42" i="3"/>
  <c r="D43" i="3"/>
  <c r="D32" i="3"/>
  <c r="F43" i="3" l="1"/>
  <c r="F39" i="3"/>
  <c r="F35" i="3"/>
  <c r="F40" i="3"/>
  <c r="F36" i="3"/>
  <c r="F32" i="3"/>
  <c r="F6" i="7"/>
  <c r="G6" i="7" s="1"/>
  <c r="F22" i="7"/>
  <c r="C23" i="7" s="1"/>
  <c r="D22" i="7" s="1"/>
  <c r="E23" i="6"/>
  <c r="F42" i="3"/>
  <c r="F38" i="3"/>
  <c r="F34" i="3"/>
  <c r="F41" i="3"/>
  <c r="F37" i="3"/>
  <c r="F33" i="3"/>
  <c r="F41" i="7"/>
  <c r="G41" i="7" s="1"/>
  <c r="C11" i="4"/>
  <c r="C12" i="4"/>
  <c r="C13" i="4"/>
  <c r="C14" i="4"/>
  <c r="C15" i="4"/>
  <c r="C16" i="4"/>
  <c r="C17" i="4"/>
  <c r="C18" i="4"/>
  <c r="C19" i="4"/>
  <c r="C20" i="4"/>
  <c r="C21" i="4"/>
  <c r="C10" i="4"/>
  <c r="C10" i="3"/>
  <c r="C11" i="3"/>
  <c r="C12" i="3"/>
  <c r="C13" i="3"/>
  <c r="C14" i="3"/>
  <c r="C15" i="3"/>
  <c r="C16" i="3"/>
  <c r="C17" i="3"/>
  <c r="C18" i="3"/>
  <c r="C19" i="3"/>
  <c r="C20" i="3"/>
  <c r="C9" i="3"/>
  <c r="E9" i="3" s="1"/>
  <c r="G11" i="2"/>
  <c r="G12" i="2"/>
  <c r="G13" i="2"/>
  <c r="I13" i="2" s="1"/>
  <c r="G14" i="2"/>
  <c r="G15" i="2"/>
  <c r="G16" i="2"/>
  <c r="G17" i="2"/>
  <c r="G18" i="2"/>
  <c r="G19" i="2"/>
  <c r="G20" i="2"/>
  <c r="G21" i="2"/>
  <c r="G10" i="2"/>
  <c r="I10" i="2" s="1"/>
  <c r="C11" i="2"/>
  <c r="C12" i="2"/>
  <c r="C13" i="2"/>
  <c r="C14" i="2"/>
  <c r="C15" i="2"/>
  <c r="C16" i="2"/>
  <c r="C17" i="2"/>
  <c r="C18" i="2"/>
  <c r="C19" i="2"/>
  <c r="C20" i="2"/>
  <c r="C21" i="2"/>
  <c r="C10" i="2"/>
  <c r="C51" i="7" l="1"/>
  <c r="D51" i="7" s="1"/>
  <c r="C9" i="7"/>
  <c r="D9" i="7" s="1"/>
  <c r="C24" i="7"/>
  <c r="E24" i="7" s="1"/>
  <c r="C17" i="7"/>
  <c r="D17" i="7" s="1"/>
  <c r="C48" i="7"/>
  <c r="E48" i="7" s="1"/>
  <c r="C11" i="7"/>
  <c r="D11" i="7" s="1"/>
  <c r="C10" i="7"/>
  <c r="E10" i="7" s="1"/>
  <c r="C25" i="7"/>
  <c r="E25" i="7" s="1"/>
  <c r="C46" i="7"/>
  <c r="E46" i="7" s="1"/>
  <c r="C12" i="7"/>
  <c r="C29" i="7"/>
  <c r="D28" i="7" s="1"/>
  <c r="E23" i="7"/>
  <c r="C28" i="7"/>
  <c r="E28" i="7" s="1"/>
  <c r="C22" i="7"/>
  <c r="E22" i="7" s="1"/>
  <c r="C33" i="7"/>
  <c r="D32" i="7" s="1"/>
  <c r="C13" i="7"/>
  <c r="E13" i="7" s="1"/>
  <c r="C42" i="7"/>
  <c r="E42" i="7" s="1"/>
  <c r="C50" i="7"/>
  <c r="E50" i="7" s="1"/>
  <c r="C32" i="7"/>
  <c r="E32" i="7" s="1"/>
  <c r="C14" i="7"/>
  <c r="E14" i="7" s="1"/>
  <c r="C43" i="7"/>
  <c r="C6" i="7"/>
  <c r="D6" i="7" s="1"/>
  <c r="C7" i="7"/>
  <c r="E7" i="7" s="1"/>
  <c r="C15" i="7"/>
  <c r="D15" i="7" s="1"/>
  <c r="C44" i="7"/>
  <c r="C52" i="7"/>
  <c r="C8" i="7"/>
  <c r="C16" i="7"/>
  <c r="C47" i="7"/>
  <c r="G22" i="7"/>
  <c r="C27" i="7"/>
  <c r="D26" i="7" s="1"/>
  <c r="C31" i="7"/>
  <c r="D30" i="7" s="1"/>
  <c r="C26" i="7"/>
  <c r="E26" i="7" s="1"/>
  <c r="C30" i="7"/>
  <c r="C45" i="7"/>
  <c r="C49" i="7"/>
  <c r="C41" i="7"/>
  <c r="I21" i="2"/>
  <c r="H21" i="2"/>
  <c r="I19" i="2"/>
  <c r="H19" i="2"/>
  <c r="I17" i="2"/>
  <c r="H17" i="2"/>
  <c r="H15" i="2"/>
  <c r="I15" i="2"/>
  <c r="I20" i="2"/>
  <c r="H20" i="2"/>
  <c r="I18" i="2"/>
  <c r="H18" i="2"/>
  <c r="I16" i="2"/>
  <c r="H16" i="2"/>
  <c r="I14" i="2"/>
  <c r="H14" i="2"/>
  <c r="E9" i="7"/>
  <c r="C19" i="6"/>
  <c r="C15" i="6"/>
  <c r="G6" i="4"/>
  <c r="H6" i="4" s="1"/>
  <c r="B47" i="4" s="1"/>
  <c r="D21" i="4"/>
  <c r="E20" i="4"/>
  <c r="D19" i="4"/>
  <c r="E18" i="4"/>
  <c r="D18" i="4"/>
  <c r="D17" i="4"/>
  <c r="E16" i="4"/>
  <c r="E15" i="4"/>
  <c r="D15" i="4"/>
  <c r="E14" i="4"/>
  <c r="D14" i="4"/>
  <c r="D13" i="4"/>
  <c r="E12" i="4"/>
  <c r="D11" i="4"/>
  <c r="E10" i="4"/>
  <c r="D10" i="4"/>
  <c r="E17" i="3"/>
  <c r="D13" i="3"/>
  <c r="E11" i="3"/>
  <c r="E14" i="3"/>
  <c r="E15" i="3"/>
  <c r="E16" i="3"/>
  <c r="E18" i="3"/>
  <c r="E19" i="3"/>
  <c r="D14" i="3"/>
  <c r="D15" i="3"/>
  <c r="D16" i="3"/>
  <c r="D17" i="3"/>
  <c r="D18" i="3"/>
  <c r="D19" i="3"/>
  <c r="E10" i="3"/>
  <c r="E12" i="3"/>
  <c r="D10" i="3"/>
  <c r="D11" i="3"/>
  <c r="D12" i="3"/>
  <c r="D9" i="3"/>
  <c r="B35" i="6" l="1"/>
  <c r="C35" i="6" s="1"/>
  <c r="F15" i="6"/>
  <c r="B39" i="6"/>
  <c r="C39" i="6" s="1"/>
  <c r="F19" i="6"/>
  <c r="D25" i="7"/>
  <c r="D48" i="7"/>
  <c r="E11" i="7"/>
  <c r="E51" i="7"/>
  <c r="E33" i="7"/>
  <c r="D7" i="7"/>
  <c r="E17" i="7"/>
  <c r="D31" i="7"/>
  <c r="D24" i="7"/>
  <c r="D46" i="7"/>
  <c r="E29" i="7"/>
  <c r="E6" i="7"/>
  <c r="E31" i="7"/>
  <c r="D50" i="7"/>
  <c r="D10" i="7"/>
  <c r="D23" i="7"/>
  <c r="D14" i="7"/>
  <c r="E27" i="7"/>
  <c r="E12" i="7"/>
  <c r="D12" i="7"/>
  <c r="D42" i="7"/>
  <c r="E16" i="7"/>
  <c r="D16" i="7"/>
  <c r="E15" i="7"/>
  <c r="E8" i="7"/>
  <c r="D8" i="7"/>
  <c r="D13" i="7"/>
  <c r="D27" i="7"/>
  <c r="E52" i="7"/>
  <c r="D52" i="7"/>
  <c r="D47" i="7"/>
  <c r="E47" i="7"/>
  <c r="E44" i="7"/>
  <c r="D44" i="7"/>
  <c r="D43" i="7"/>
  <c r="E43" i="7"/>
  <c r="E49" i="7"/>
  <c r="D49" i="7"/>
  <c r="E30" i="7"/>
  <c r="D29" i="7"/>
  <c r="E41" i="7"/>
  <c r="D41" i="7"/>
  <c r="D45" i="7"/>
  <c r="E45" i="7"/>
  <c r="C8" i="5"/>
  <c r="C11" i="6"/>
  <c r="C22" i="6"/>
  <c r="C18" i="6"/>
  <c r="C14" i="6"/>
  <c r="C21" i="6"/>
  <c r="C17" i="6"/>
  <c r="C13" i="6"/>
  <c r="C20" i="6"/>
  <c r="C16" i="6"/>
  <c r="C12" i="6"/>
  <c r="D43" i="4"/>
  <c r="E44" i="4" s="1"/>
  <c r="E19" i="4"/>
  <c r="E11" i="4"/>
  <c r="D12" i="4"/>
  <c r="E13" i="4"/>
  <c r="D16" i="4"/>
  <c r="E17" i="4"/>
  <c r="D20" i="4"/>
  <c r="E21" i="4"/>
  <c r="E13" i="3"/>
  <c r="G44" i="3"/>
  <c r="E20" i="3"/>
  <c r="D20" i="3"/>
  <c r="D21" i="3" s="1"/>
  <c r="B33" i="6" l="1"/>
  <c r="C33" i="6" s="1"/>
  <c r="F13" i="6"/>
  <c r="B42" i="6"/>
  <c r="C42" i="6" s="1"/>
  <c r="F22" i="6"/>
  <c r="B36" i="6"/>
  <c r="C36" i="6" s="1"/>
  <c r="F16" i="6"/>
  <c r="B41" i="6"/>
  <c r="C41" i="6" s="1"/>
  <c r="F21" i="6"/>
  <c r="B31" i="6"/>
  <c r="C31" i="6" s="1"/>
  <c r="F11" i="6"/>
  <c r="B38" i="6"/>
  <c r="C38" i="6" s="1"/>
  <c r="F18" i="6"/>
  <c r="B32" i="6"/>
  <c r="C32" i="6" s="1"/>
  <c r="F12" i="6"/>
  <c r="B37" i="6"/>
  <c r="C37" i="6" s="1"/>
  <c r="F17" i="6"/>
  <c r="B40" i="6"/>
  <c r="C40" i="6" s="1"/>
  <c r="F20" i="6"/>
  <c r="B34" i="6"/>
  <c r="C34" i="6" s="1"/>
  <c r="F14" i="6"/>
  <c r="E34" i="7"/>
  <c r="E18" i="7"/>
  <c r="E36" i="7"/>
  <c r="E54" i="7"/>
  <c r="E22" i="4"/>
  <c r="G23" i="6"/>
  <c r="D22" i="4"/>
  <c r="E21" i="3"/>
  <c r="E22" i="3" s="1"/>
  <c r="G45" i="2"/>
  <c r="F45" i="2"/>
  <c r="I11" i="2"/>
  <c r="I12" i="2"/>
  <c r="H11" i="2"/>
  <c r="H12" i="2"/>
  <c r="H13" i="2"/>
  <c r="H10" i="2"/>
  <c r="E11" i="2"/>
  <c r="E12" i="2"/>
  <c r="E13" i="2"/>
  <c r="E14" i="2"/>
  <c r="E15" i="2"/>
  <c r="E16" i="2"/>
  <c r="E17" i="2"/>
  <c r="E18" i="2"/>
  <c r="E19" i="2"/>
  <c r="E20" i="2"/>
  <c r="E21" i="2"/>
  <c r="E10" i="2"/>
  <c r="D11" i="2"/>
  <c r="D12" i="2"/>
  <c r="D13" i="2"/>
  <c r="D14" i="2"/>
  <c r="D15" i="2"/>
  <c r="D16" i="2"/>
  <c r="D17" i="2"/>
  <c r="D18" i="2"/>
  <c r="D19" i="2"/>
  <c r="D20" i="2"/>
  <c r="D21" i="2"/>
  <c r="D10" i="2"/>
  <c r="C5" i="1"/>
  <c r="D5" i="1" s="1"/>
  <c r="E23" i="4" l="1"/>
  <c r="D46" i="4" s="1"/>
  <c r="B8" i="5" s="1"/>
  <c r="F23" i="6"/>
  <c r="G24" i="6" s="1"/>
  <c r="B13" i="5" s="1"/>
  <c r="D22" i="2"/>
  <c r="E22" i="2"/>
  <c r="I22" i="2"/>
  <c r="H22" i="2"/>
  <c r="H46" i="2"/>
  <c r="I23" i="2" l="1"/>
  <c r="F48" i="2" s="1"/>
  <c r="B6" i="5" s="1"/>
  <c r="F44" i="3"/>
  <c r="H45" i="3" s="1"/>
  <c r="F47" i="3" s="1"/>
  <c r="B7" i="5" s="1"/>
  <c r="C43" i="6"/>
  <c r="D44" i="6" s="1"/>
  <c r="B14" i="5" s="1"/>
  <c r="B9" i="5" l="1"/>
  <c r="C9" i="5" s="1"/>
  <c r="B15" i="5"/>
  <c r="C15" i="5" s="1"/>
</calcChain>
</file>

<file path=xl/sharedStrings.xml><?xml version="1.0" encoding="utf-8"?>
<sst xmlns="http://schemas.openxmlformats.org/spreadsheetml/2006/main" count="242" uniqueCount="135">
  <si>
    <t>Simulação de Demanda Contratada</t>
  </si>
  <si>
    <t>Mês</t>
  </si>
  <si>
    <t>D (kW)</t>
  </si>
  <si>
    <t xml:space="preserve"> D máx (kW)</t>
  </si>
  <si>
    <t>D ideal (kW)</t>
  </si>
  <si>
    <t>Tarifas de Demanda (R$/kW)</t>
  </si>
  <si>
    <t>Teste</t>
  </si>
  <si>
    <t>D FP(R$)</t>
  </si>
  <si>
    <t>D P(kW)</t>
  </si>
  <si>
    <t>D P(R$)</t>
  </si>
  <si>
    <t>D U P(R$)</t>
  </si>
  <si>
    <t>D FP(kW)</t>
  </si>
  <si>
    <t>D U FP(R$)</t>
  </si>
  <si>
    <t>Totais (R$)</t>
  </si>
  <si>
    <t>Total com Demanda (R$)</t>
  </si>
  <si>
    <t>*Tolerância ultrapassagem de demanda</t>
  </si>
  <si>
    <t>Tarifas de Consumo (R$/MWh)</t>
  </si>
  <si>
    <t>C P(R$)</t>
  </si>
  <si>
    <t>C FP(R$)</t>
  </si>
  <si>
    <t>Total com Consumo (R$)</t>
  </si>
  <si>
    <t>Total Tarifa Azul (R$)</t>
  </si>
  <si>
    <t>D (R$)</t>
  </si>
  <si>
    <t>D U(R$)</t>
  </si>
  <si>
    <t>Total Tarifa Verde (R$)</t>
  </si>
  <si>
    <t>Convencional</t>
  </si>
  <si>
    <t>C T(R$)</t>
  </si>
  <si>
    <t>Total Tarifa Convencional (R$)</t>
  </si>
  <si>
    <t>Dmáx</t>
  </si>
  <si>
    <t>Modalidade</t>
  </si>
  <si>
    <t>Custo Total</t>
  </si>
  <si>
    <t>Melhor Opção</t>
  </si>
  <si>
    <t>Alta Tensão - Modalidade Azul - Simulação de Custos de Demanda</t>
  </si>
  <si>
    <t>Alta Tensão - Modalidade Azul - Simulação de Custos de Consumo</t>
  </si>
  <si>
    <t>Alta Tensão - Modalidade Verde - Simulação de Custos de Demanda</t>
  </si>
  <si>
    <t>Alta Tensão - Modalidade Verde - Simulação de Custos de Consumo</t>
  </si>
  <si>
    <t>Alta Tensão - Modalidade Convencional - Simulação de Custos de Demanda</t>
  </si>
  <si>
    <t>Alta Tensão - Modalidade Convencional - Simulação de Custos de Consumo</t>
  </si>
  <si>
    <t>C INT(R$)</t>
  </si>
  <si>
    <t>Total Branca (R$)</t>
  </si>
  <si>
    <t>Baixa Tensão - Modalidade Convencional - Simulação de Custos de Consumo</t>
  </si>
  <si>
    <t>Resultados Baixa Tensão</t>
  </si>
  <si>
    <t>Resultados Alta Tensão</t>
  </si>
  <si>
    <t>Demanda Contratada (kW)</t>
  </si>
  <si>
    <t>Teste=1</t>
  </si>
  <si>
    <t xml:space="preserve">Teste=2 </t>
  </si>
  <si>
    <t>D-Dmáx (kW)</t>
  </si>
  <si>
    <t>Simulação de Demanda Contratada - Tarifa Azul</t>
  </si>
  <si>
    <t>Horário de Ponta</t>
  </si>
  <si>
    <t>Horário Fora de Ponta</t>
  </si>
  <si>
    <t>D U (R$)</t>
  </si>
  <si>
    <t>D C(R$)</t>
  </si>
  <si>
    <t>TUD (R$/kW)</t>
  </si>
  <si>
    <t>TDC (R$/kW)</t>
  </si>
  <si>
    <t>Simulação de Demanda Contratada - Tarifa Verde</t>
  </si>
  <si>
    <t>Horária Azul</t>
  </si>
  <si>
    <t>Horária Verde</t>
  </si>
  <si>
    <t>Observação</t>
  </si>
  <si>
    <t>Verde</t>
  </si>
  <si>
    <t>Demanda (Ponta e Fora Ponta)</t>
  </si>
  <si>
    <t>Indique a Bandeira</t>
  </si>
  <si>
    <t>Amarela</t>
  </si>
  <si>
    <t>Escolha a Bandeira Tarifária</t>
  </si>
  <si>
    <t xml:space="preserve">Indique a Bandeira </t>
  </si>
  <si>
    <t>Tarifa Horária Verde - A4</t>
  </si>
  <si>
    <t>Convencional - A4</t>
  </si>
  <si>
    <t>C P(kWh)</t>
  </si>
  <si>
    <t>C FP(kWh)</t>
  </si>
  <si>
    <t xml:space="preserve">Tarifa horária Azul - com desconto 15% </t>
  </si>
  <si>
    <t>Tarifa Verde (TE+TUSD) - 85% da Tarifa</t>
  </si>
  <si>
    <t>P (85% da Demanda)</t>
  </si>
  <si>
    <t>FP (85% da Demanda)</t>
  </si>
  <si>
    <t xml:space="preserve">Tarifas de Demanda (R$/kW) </t>
  </si>
  <si>
    <t xml:space="preserve">Tarifa horária Azul - A4 - com desconto 15% </t>
  </si>
  <si>
    <t xml:space="preserve">Tarifa Horária Verde - A4 - com desconto 15% </t>
  </si>
  <si>
    <t>Bandeira Verde - (TE+TUSD) - 85% da Tarifa</t>
  </si>
  <si>
    <t>P e FP (85% da Demanda)</t>
  </si>
  <si>
    <t xml:space="preserve">*Essa simulação não é aplicável caso a demanda contratada seja maior que 150kW / Modalidade sendo extinta a partir do 4o Ciclo de Revisão Tarifária) </t>
  </si>
  <si>
    <t>Baixa Tensão - Modalidade Branca - Simulação de Custos de Consumo (Disponível a partir de Janeiro/2018)</t>
  </si>
  <si>
    <t>Ultr - sem desconto</t>
  </si>
  <si>
    <t>Ultr - Sem desconto</t>
  </si>
  <si>
    <t>Ult FP - S/ desconto</t>
  </si>
  <si>
    <t>Ult P  - S/ Desconto</t>
  </si>
  <si>
    <t>Simulação inválida - Demanda &gt;150 kW</t>
  </si>
  <si>
    <r>
      <rPr>
        <b/>
        <sz val="11"/>
        <color theme="1"/>
        <rFont val="Calibri"/>
        <family val="2"/>
        <scheme val="minor"/>
      </rPr>
      <t>ProEESA - Projeto de Eficiência Energética em Sistemas de Abastecimento de Água</t>
    </r>
    <r>
      <rPr>
        <sz val="11"/>
        <color theme="1"/>
        <rFont val="Calibri"/>
        <family val="2"/>
        <scheme val="minor"/>
      </rPr>
      <t xml:space="preserve">
Planilha de Simulação Tarifária</t>
    </r>
  </si>
  <si>
    <t>Resultado das Simulações</t>
  </si>
  <si>
    <t>Ponta</t>
  </si>
  <si>
    <t>Fora de Ponta</t>
  </si>
  <si>
    <t>Tolerância ultrapassagem de demanda</t>
  </si>
  <si>
    <t>Sub Total (R$)</t>
  </si>
  <si>
    <t>Sub-Total (R$)</t>
  </si>
  <si>
    <t>TOTAL DEMANDA (R$)</t>
  </si>
  <si>
    <t>TOTAL CONSUMO (R$)</t>
  </si>
  <si>
    <r>
      <rPr>
        <b/>
        <sz val="11"/>
        <color theme="1"/>
        <rFont val="Calibri"/>
        <family val="2"/>
        <scheme val="minor"/>
      </rPr>
      <t xml:space="preserve">ProEESA - Projeto de Eficiência Energética em Sistemas de Abastecimento de Água
</t>
    </r>
    <r>
      <rPr>
        <sz val="11"/>
        <color theme="1"/>
        <rFont val="Calibri"/>
        <family val="2"/>
        <scheme val="minor"/>
      </rPr>
      <t>Planilha de Simulação Tarifária</t>
    </r>
  </si>
  <si>
    <t>Sub-Totais (R$)</t>
  </si>
  <si>
    <t>Simulação válida</t>
  </si>
  <si>
    <t>Intermediário</t>
  </si>
  <si>
    <t>Custo Demanda Não Utilizada Tarifa Azul</t>
  </si>
  <si>
    <t>Custo Demanda Não Utilizada Tarifa Verde</t>
  </si>
  <si>
    <t>Vermelha Patamar 1</t>
  </si>
  <si>
    <t>Vermelha Patamar 2</t>
  </si>
  <si>
    <t>Bandeira Amarela (TE+TUSD+15) - 85% da Tarifa</t>
  </si>
  <si>
    <t>Bandeira Vermelha P1 (TE+TUSD+30) - 85% da Tarifa</t>
  </si>
  <si>
    <t>Bandeira Vermelha P2 (TE+TUSD+45) - 85% da Tarifa</t>
  </si>
  <si>
    <t>Tarifa Amarela (TE+TUSD+15) - 85% da Tarifa</t>
  </si>
  <si>
    <t>Tarifa Vermelha P1 (TE+TUSD+30) - 85% da Tarifa</t>
  </si>
  <si>
    <t>Tarifa Vermelha P2 (TE+TUSD+45) - 85% da Tarifa</t>
  </si>
  <si>
    <t>Bandeira Verde (TE+TUSD) - 85% Tarifa</t>
  </si>
  <si>
    <t>Bandeira Amarela (TE+TUSD+15) 85% Tarifa</t>
  </si>
  <si>
    <t xml:space="preserve">Fora Ponta </t>
  </si>
  <si>
    <t>Bandeira Verde  (TE+TUSD) - 85% da Tarifa</t>
  </si>
  <si>
    <t>Bandeira Amarela  (TE+TUSD +15) - 85% da Tarifa</t>
  </si>
  <si>
    <t>Postos Tarifários</t>
  </si>
  <si>
    <t xml:space="preserve">Tarifas de Consumo - TUSD +TE  (Ponta e Fora Ponta) - R$/MWh </t>
  </si>
  <si>
    <t xml:space="preserve">Branca - Grupo B3 - 85% da Tarifa -(Saneamento) </t>
  </si>
  <si>
    <t>Tarifas de Consumo - TE+TUSD+BANDEIRA (R$/MWh)</t>
  </si>
  <si>
    <t>Tarifas de Consumo - TE+TUSD+BANDEIRA  (R$/MWh) - Grupo B3 - Saneamento</t>
  </si>
  <si>
    <t xml:space="preserve">Bandeira Verde (TE+TUSD) - 85% da Tarifa </t>
  </si>
  <si>
    <t xml:space="preserve">Bandeira Amarela (TE+TUSD+15) - 85% da Tarifa </t>
  </si>
  <si>
    <t xml:space="preserve">Bandeira Vermelha P1 (TE+TUSD+30) - 85% da Tarifa </t>
  </si>
  <si>
    <t xml:space="preserve">Bandeira Vermelha P2(TE+TUSD+45) - 85% da Tarifa </t>
  </si>
  <si>
    <t>Convencional A4 - Desconto de 15% da Tarifa - Saneamento</t>
  </si>
  <si>
    <t xml:space="preserve">Convencional - A4 - Desconto de 15% da Tarifa de Demanda </t>
  </si>
  <si>
    <t>P e FP (85% da Tarifa de Demanda)</t>
  </si>
  <si>
    <t xml:space="preserve">Tarifa Horária Verde - A4 -  Desconto de 15% da Tarifa </t>
  </si>
  <si>
    <t>Bandeira Vermelha P1(TE+TUSD+30)- 85% da Tarifa</t>
  </si>
  <si>
    <t>C T(kWh)</t>
  </si>
  <si>
    <t>C INT(kWh)</t>
  </si>
  <si>
    <t>Total Convencional (R$)</t>
  </si>
  <si>
    <t>Branca*</t>
  </si>
  <si>
    <t>Simulação válida*</t>
  </si>
  <si>
    <t>Simulação inválida - Tarifa não vigente*</t>
  </si>
  <si>
    <r>
      <rPr>
        <b/>
        <i/>
        <sz val="8"/>
        <color theme="1"/>
        <rFont val="Calibri"/>
        <family val="2"/>
        <scheme val="minor"/>
      </rPr>
      <t xml:space="preserve">* Vigência </t>
    </r>
    <r>
      <rPr>
        <i/>
        <sz val="8"/>
        <color theme="1"/>
        <rFont val="Calibri"/>
        <family val="2"/>
        <scheme val="minor"/>
      </rPr>
      <t xml:space="preserve">
1º de janeiro de 2018, para novas ligações e para unidades consumidoras com média anual de consumo mensal superior a 500 kWh;
1º de janeiro de 2019 para unidades consumidoras com média anual de consumo mensal superior a 250 kWh; e,
1º de janeiro de 2020 para todas as unidades consumidoras.</t>
    </r>
  </si>
  <si>
    <t>Bandeira Verde (TE+TUSD)</t>
  </si>
  <si>
    <t>Tarifa Verde (TE+TUSD)</t>
  </si>
  <si>
    <t>Bandeira Verde - (TE+TUSD)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</si>
</sst>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0.0"/>
    <numFmt numFmtId="165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7C5"/>
        <bgColor indexed="64"/>
      </patternFill>
    </fill>
    <fill>
      <patternFill patternType="solid">
        <fgColor rgb="FF7AB3A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AE7F"/>
        <bgColor indexed="64"/>
      </patternFill>
    </fill>
    <fill>
      <patternFill patternType="solid">
        <fgColor theme="7" tint="0.39997558519241921"/>
        <bgColor indexed="64"/>
      </patternFill>
    </fill>
  </fills>
  <borders count="16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 style="medium">
        <color rgb="FF00B7C5"/>
      </left>
      <right style="thin">
        <color theme="5"/>
      </right>
      <top style="medium">
        <color rgb="FF00B7C5"/>
      </top>
      <bottom style="medium">
        <color rgb="FF00B7C5"/>
      </bottom>
      <diagonal/>
    </border>
    <border>
      <left style="thin">
        <color theme="5"/>
      </left>
      <right style="thin">
        <color theme="5"/>
      </right>
      <top style="medium">
        <color rgb="FF00B7C5"/>
      </top>
      <bottom style="medium">
        <color rgb="FF00B7C5"/>
      </bottom>
      <diagonal/>
    </border>
    <border>
      <left style="thin">
        <color theme="5"/>
      </left>
      <right style="medium">
        <color rgb="FF00B7C5"/>
      </right>
      <top style="medium">
        <color rgb="FF00B7C5"/>
      </top>
      <bottom style="medium">
        <color rgb="FF00B7C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/>
      <diagonal/>
    </border>
    <border>
      <left style="medium">
        <color rgb="FF00B7C5"/>
      </left>
      <right style="thin">
        <color rgb="FF00B7C5"/>
      </right>
      <top style="medium">
        <color rgb="FF00B7C5"/>
      </top>
      <bottom style="thin">
        <color rgb="FF00B7C5"/>
      </bottom>
      <diagonal/>
    </border>
    <border>
      <left style="thin">
        <color rgb="FF00B7C5"/>
      </left>
      <right style="thin">
        <color rgb="FF00B7C5"/>
      </right>
      <top style="medium">
        <color rgb="FF00B7C5"/>
      </top>
      <bottom style="thin">
        <color rgb="FF00B7C5"/>
      </bottom>
      <diagonal/>
    </border>
    <border>
      <left style="thin">
        <color rgb="FF00B7C5"/>
      </left>
      <right style="medium">
        <color rgb="FF00B7C5"/>
      </right>
      <top style="medium">
        <color rgb="FF00B7C5"/>
      </top>
      <bottom style="thin">
        <color rgb="FF00B7C5"/>
      </bottom>
      <diagonal/>
    </border>
    <border>
      <left style="medium">
        <color rgb="FF00B7C5"/>
      </left>
      <right style="thin">
        <color rgb="FF00B7C5"/>
      </right>
      <top style="thin">
        <color rgb="FF00B7C5"/>
      </top>
      <bottom style="thin">
        <color rgb="FF00B7C5"/>
      </bottom>
      <diagonal/>
    </border>
    <border>
      <left style="thin">
        <color rgb="FF00B7C5"/>
      </left>
      <right style="thin">
        <color rgb="FF00B7C5"/>
      </right>
      <top style="thin">
        <color rgb="FF00B7C5"/>
      </top>
      <bottom style="thin">
        <color rgb="FF00B7C5"/>
      </bottom>
      <diagonal/>
    </border>
    <border>
      <left style="thin">
        <color rgb="FF00B7C5"/>
      </left>
      <right style="medium">
        <color rgb="FF00B7C5"/>
      </right>
      <top style="thin">
        <color rgb="FF00B7C5"/>
      </top>
      <bottom style="thin">
        <color rgb="FF00B7C5"/>
      </bottom>
      <diagonal/>
    </border>
    <border>
      <left style="medium">
        <color rgb="FF00B7C5"/>
      </left>
      <right style="thin">
        <color rgb="FF00B7C5"/>
      </right>
      <top style="thin">
        <color rgb="FF00B7C5"/>
      </top>
      <bottom style="medium">
        <color rgb="FF00B7C5"/>
      </bottom>
      <diagonal/>
    </border>
    <border>
      <left style="thin">
        <color rgb="FF00B7C5"/>
      </left>
      <right style="thin">
        <color rgb="FF00B7C5"/>
      </right>
      <top style="thin">
        <color rgb="FF00B7C5"/>
      </top>
      <bottom style="medium">
        <color rgb="FF00B7C5"/>
      </bottom>
      <diagonal/>
    </border>
    <border>
      <left style="thin">
        <color rgb="FF00B7C5"/>
      </left>
      <right style="medium">
        <color rgb="FF00B7C5"/>
      </right>
      <top style="thin">
        <color rgb="FF00B7C5"/>
      </top>
      <bottom style="medium">
        <color rgb="FF00B7C5"/>
      </bottom>
      <diagonal/>
    </border>
    <border>
      <left style="medium">
        <color rgb="FF00B7C5"/>
      </left>
      <right style="thin">
        <color rgb="FF00B7C5"/>
      </right>
      <top/>
      <bottom/>
      <diagonal/>
    </border>
    <border>
      <left style="thin">
        <color rgb="FF00B7C5"/>
      </left>
      <right style="thin">
        <color rgb="FF00B7C5"/>
      </right>
      <top/>
      <bottom/>
      <diagonal/>
    </border>
    <border>
      <left style="thin">
        <color rgb="FF00B7C5"/>
      </left>
      <right/>
      <top/>
      <bottom/>
      <diagonal/>
    </border>
    <border>
      <left/>
      <right/>
      <top style="medium">
        <color rgb="FF00B7C5"/>
      </top>
      <bottom/>
      <diagonal/>
    </border>
    <border>
      <left style="medium">
        <color rgb="FF00B7C5"/>
      </left>
      <right/>
      <top style="medium">
        <color rgb="FF00B7C5"/>
      </top>
      <bottom style="medium">
        <color rgb="FF00B7C5"/>
      </bottom>
      <diagonal/>
    </border>
    <border>
      <left/>
      <right/>
      <top style="medium">
        <color rgb="FF00B7C5"/>
      </top>
      <bottom style="medium">
        <color rgb="FF00B7C5"/>
      </bottom>
      <diagonal/>
    </border>
    <border>
      <left style="thin">
        <color rgb="FF00B7C5"/>
      </left>
      <right style="thin">
        <color rgb="FF00B7C5"/>
      </right>
      <top style="medium">
        <color rgb="FF00B7C5"/>
      </top>
      <bottom style="medium">
        <color rgb="FF00B7C5"/>
      </bottom>
      <diagonal/>
    </border>
    <border>
      <left style="thin">
        <color rgb="FF00B7C5"/>
      </left>
      <right style="medium">
        <color rgb="FF00B7C5"/>
      </right>
      <top style="medium">
        <color rgb="FF00B7C5"/>
      </top>
      <bottom style="medium">
        <color rgb="FF00B7C5"/>
      </bottom>
      <diagonal/>
    </border>
    <border>
      <left/>
      <right style="medium">
        <color rgb="FF00B7C5"/>
      </right>
      <top style="medium">
        <color rgb="FF00B7C5"/>
      </top>
      <bottom style="medium">
        <color rgb="FF00B7C5"/>
      </bottom>
      <diagonal/>
    </border>
    <border>
      <left/>
      <right style="thin">
        <color rgb="FF00B7C5"/>
      </right>
      <top style="thin">
        <color rgb="FF00B7C5"/>
      </top>
      <bottom style="thin">
        <color rgb="FF00B7C5"/>
      </bottom>
      <diagonal/>
    </border>
    <border>
      <left/>
      <right style="thin">
        <color rgb="FF00B7C5"/>
      </right>
      <top/>
      <bottom style="thin">
        <color rgb="FF00B7C5"/>
      </bottom>
      <diagonal/>
    </border>
    <border>
      <left style="thin">
        <color rgb="FF00B7C5"/>
      </left>
      <right style="thin">
        <color rgb="FF00B7C5"/>
      </right>
      <top/>
      <bottom style="thin">
        <color rgb="FF00B7C5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rgb="FF7AB3A7"/>
      </left>
      <right style="medium">
        <color rgb="FF7AB3A7"/>
      </right>
      <top style="medium">
        <color rgb="FF7AB3A7"/>
      </top>
      <bottom style="medium">
        <color rgb="FF7AB3A7"/>
      </bottom>
      <diagonal/>
    </border>
    <border>
      <left style="medium">
        <color rgb="FF7AB3A7"/>
      </left>
      <right/>
      <top style="medium">
        <color rgb="FF7AB3A7"/>
      </top>
      <bottom style="medium">
        <color rgb="FF7AB3A7"/>
      </bottom>
      <diagonal/>
    </border>
    <border>
      <left/>
      <right/>
      <top style="medium">
        <color rgb="FF7AB3A7"/>
      </top>
      <bottom style="medium">
        <color rgb="FF7AB3A7"/>
      </bottom>
      <diagonal/>
    </border>
    <border>
      <left/>
      <right style="medium">
        <color rgb="FF7AB3A7"/>
      </right>
      <top style="medium">
        <color rgb="FF7AB3A7"/>
      </top>
      <bottom style="medium">
        <color rgb="FF7AB3A7"/>
      </bottom>
      <diagonal/>
    </border>
    <border>
      <left style="medium">
        <color rgb="FF7AB3A7"/>
      </left>
      <right style="thin">
        <color rgb="FF7AB3A7"/>
      </right>
      <top style="medium">
        <color rgb="FF7AB3A7"/>
      </top>
      <bottom style="thin">
        <color rgb="FF7AB3A7"/>
      </bottom>
      <diagonal/>
    </border>
    <border>
      <left style="thin">
        <color rgb="FF7AB3A7"/>
      </left>
      <right style="medium">
        <color rgb="FF7AB3A7"/>
      </right>
      <top style="medium">
        <color rgb="FF7AB3A7"/>
      </top>
      <bottom style="thin">
        <color rgb="FF7AB3A7"/>
      </bottom>
      <diagonal/>
    </border>
    <border>
      <left style="medium">
        <color rgb="FF7AB3A7"/>
      </left>
      <right style="thin">
        <color rgb="FF7AB3A7"/>
      </right>
      <top style="thin">
        <color rgb="FF7AB3A7"/>
      </top>
      <bottom style="thin">
        <color rgb="FF7AB3A7"/>
      </bottom>
      <diagonal/>
    </border>
    <border>
      <left style="thin">
        <color rgb="FF7AB3A7"/>
      </left>
      <right style="medium">
        <color rgb="FF7AB3A7"/>
      </right>
      <top style="thin">
        <color rgb="FF7AB3A7"/>
      </top>
      <bottom style="thin">
        <color rgb="FF7AB3A7"/>
      </bottom>
      <diagonal/>
    </border>
    <border>
      <left style="medium">
        <color rgb="FF7AB3A7"/>
      </left>
      <right style="thin">
        <color rgb="FF7AB3A7"/>
      </right>
      <top style="thin">
        <color rgb="FF7AB3A7"/>
      </top>
      <bottom style="medium">
        <color rgb="FF7AB3A7"/>
      </bottom>
      <diagonal/>
    </border>
    <border>
      <left style="thin">
        <color rgb="FF7AB3A7"/>
      </left>
      <right style="medium">
        <color rgb="FF7AB3A7"/>
      </right>
      <top style="thin">
        <color rgb="FF7AB3A7"/>
      </top>
      <bottom style="medium">
        <color rgb="FF7AB3A7"/>
      </bottom>
      <diagonal/>
    </border>
    <border>
      <left style="thin">
        <color rgb="FF7AB3A7"/>
      </left>
      <right style="thin">
        <color rgb="FF7AB3A7"/>
      </right>
      <top style="medium">
        <color rgb="FF7AB3A7"/>
      </top>
      <bottom style="thin">
        <color rgb="FF7AB3A7"/>
      </bottom>
      <diagonal/>
    </border>
    <border>
      <left style="thin">
        <color rgb="FF7AB3A7"/>
      </left>
      <right style="thin">
        <color rgb="FF7AB3A7"/>
      </right>
      <top style="thin">
        <color rgb="FF7AB3A7"/>
      </top>
      <bottom style="thin">
        <color rgb="FF7AB3A7"/>
      </bottom>
      <diagonal/>
    </border>
    <border>
      <left style="thin">
        <color rgb="FF7AB3A7"/>
      </left>
      <right style="thin">
        <color rgb="FF7AB3A7"/>
      </right>
      <top style="thin">
        <color rgb="FF7AB3A7"/>
      </top>
      <bottom style="medium">
        <color rgb="FF7AB3A7"/>
      </bottom>
      <diagonal/>
    </border>
    <border>
      <left style="thin">
        <color theme="5"/>
      </left>
      <right style="thin">
        <color theme="5"/>
      </right>
      <top style="medium">
        <color rgb="FF7AB3A7"/>
      </top>
      <bottom style="medium">
        <color rgb="FF7AB3A7"/>
      </bottom>
      <diagonal/>
    </border>
    <border>
      <left style="thin">
        <color theme="5"/>
      </left>
      <right style="medium">
        <color rgb="FF7AB3A7"/>
      </right>
      <top style="medium">
        <color rgb="FF7AB3A7"/>
      </top>
      <bottom style="medium">
        <color rgb="FF7AB3A7"/>
      </bottom>
      <diagonal/>
    </border>
    <border>
      <left style="thin">
        <color rgb="FF7AB3A7"/>
      </left>
      <right style="medium">
        <color rgb="FF7AB3A7"/>
      </right>
      <top style="medium">
        <color rgb="FF7AB3A7"/>
      </top>
      <bottom style="medium">
        <color rgb="FF7AB3A7"/>
      </bottom>
      <diagonal/>
    </border>
    <border>
      <left style="thin">
        <color rgb="FF7AB3A7"/>
      </left>
      <right style="thin">
        <color rgb="FF7AB3A7"/>
      </right>
      <top style="medium">
        <color rgb="FF7AB3A7"/>
      </top>
      <bottom style="medium">
        <color rgb="FF7AB3A7"/>
      </bottom>
      <diagonal/>
    </border>
    <border>
      <left/>
      <right style="thin">
        <color rgb="FF7AB3A7"/>
      </right>
      <top style="thin">
        <color rgb="FF7AB3A7"/>
      </top>
      <bottom style="thin">
        <color rgb="FF7AB3A7"/>
      </bottom>
      <diagonal/>
    </border>
    <border>
      <left style="thin">
        <color rgb="FF7AB3A7"/>
      </left>
      <right style="thin">
        <color rgb="FF7AB3A7"/>
      </right>
      <top style="thin">
        <color rgb="FF7AB3A7"/>
      </top>
      <bottom/>
      <diagonal/>
    </border>
    <border>
      <left/>
      <right style="thin">
        <color rgb="FF7AB3A7"/>
      </right>
      <top style="medium">
        <color rgb="FF7AB3A7"/>
      </top>
      <bottom style="medium">
        <color rgb="FF7AB3A7"/>
      </bottom>
      <diagonal/>
    </border>
    <border>
      <left/>
      <right/>
      <top style="medium">
        <color rgb="FF7AB3A7"/>
      </top>
      <bottom/>
      <diagonal/>
    </border>
    <border>
      <left/>
      <right style="medium">
        <color rgb="FF7AB3A7"/>
      </right>
      <top style="medium">
        <color rgb="FF7AB3A7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7AB3A7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AE7F"/>
      </left>
      <right/>
      <top style="medium">
        <color rgb="FFCCAE7F"/>
      </top>
      <bottom style="medium">
        <color rgb="FFCCAE7F"/>
      </bottom>
      <diagonal/>
    </border>
    <border>
      <left/>
      <right/>
      <top style="medium">
        <color rgb="FFCCAE7F"/>
      </top>
      <bottom style="medium">
        <color rgb="FFCCAE7F"/>
      </bottom>
      <diagonal/>
    </border>
    <border>
      <left/>
      <right style="medium">
        <color rgb="FFCCAE7F"/>
      </right>
      <top style="medium">
        <color rgb="FFCCAE7F"/>
      </top>
      <bottom style="medium">
        <color rgb="FFCCAE7F"/>
      </bottom>
      <diagonal/>
    </border>
    <border>
      <left style="medium">
        <color rgb="FFCCAE7F"/>
      </left>
      <right style="thin">
        <color rgb="FFCCAE7F"/>
      </right>
      <top style="medium">
        <color rgb="FFCCAE7F"/>
      </top>
      <bottom style="thin">
        <color rgb="FFCCAE7F"/>
      </bottom>
      <diagonal/>
    </border>
    <border>
      <left style="thin">
        <color rgb="FFCCAE7F"/>
      </left>
      <right style="thin">
        <color rgb="FFCCAE7F"/>
      </right>
      <top style="medium">
        <color rgb="FFCCAE7F"/>
      </top>
      <bottom style="thin">
        <color rgb="FFCCAE7F"/>
      </bottom>
      <diagonal/>
    </border>
    <border>
      <left style="thin">
        <color rgb="FFCCAE7F"/>
      </left>
      <right style="medium">
        <color rgb="FFCCAE7F"/>
      </right>
      <top style="medium">
        <color rgb="FFCCAE7F"/>
      </top>
      <bottom style="thin">
        <color rgb="FFCCAE7F"/>
      </bottom>
      <diagonal/>
    </border>
    <border>
      <left style="medium">
        <color rgb="FFCCAE7F"/>
      </left>
      <right style="thin">
        <color rgb="FFCCAE7F"/>
      </right>
      <top style="thin">
        <color rgb="FFCCAE7F"/>
      </top>
      <bottom style="thin">
        <color rgb="FFCCAE7F"/>
      </bottom>
      <diagonal/>
    </border>
    <border>
      <left style="thin">
        <color rgb="FFCCAE7F"/>
      </left>
      <right style="thin">
        <color rgb="FFCCAE7F"/>
      </right>
      <top style="thin">
        <color rgb="FFCCAE7F"/>
      </top>
      <bottom style="thin">
        <color rgb="FFCCAE7F"/>
      </bottom>
      <diagonal/>
    </border>
    <border>
      <left style="thin">
        <color rgb="FFCCAE7F"/>
      </left>
      <right style="medium">
        <color rgb="FFCCAE7F"/>
      </right>
      <top style="thin">
        <color rgb="FFCCAE7F"/>
      </top>
      <bottom style="thin">
        <color rgb="FFCCAE7F"/>
      </bottom>
      <diagonal/>
    </border>
    <border>
      <left style="medium">
        <color rgb="FFCCAE7F"/>
      </left>
      <right style="thin">
        <color rgb="FFCCAE7F"/>
      </right>
      <top style="thin">
        <color rgb="FFCCAE7F"/>
      </top>
      <bottom style="medium">
        <color rgb="FFCCAE7F"/>
      </bottom>
      <diagonal/>
    </border>
    <border>
      <left style="thin">
        <color rgb="FFCCAE7F"/>
      </left>
      <right style="thin">
        <color rgb="FFCCAE7F"/>
      </right>
      <top style="thin">
        <color rgb="FFCCAE7F"/>
      </top>
      <bottom style="medium">
        <color rgb="FFCCAE7F"/>
      </bottom>
      <diagonal/>
    </border>
    <border>
      <left style="thin">
        <color rgb="FFCCAE7F"/>
      </left>
      <right style="medium">
        <color rgb="FFCCAE7F"/>
      </right>
      <top style="thin">
        <color rgb="FFCCAE7F"/>
      </top>
      <bottom style="medium">
        <color rgb="FFCCAE7F"/>
      </bottom>
      <diagonal/>
    </border>
    <border>
      <left style="medium">
        <color rgb="FFCCAE7F"/>
      </left>
      <right style="thin">
        <color rgb="FFCCAE7F"/>
      </right>
      <top style="medium">
        <color rgb="FFCCAE7F"/>
      </top>
      <bottom style="medium">
        <color rgb="FFCCAE7F"/>
      </bottom>
      <diagonal/>
    </border>
    <border>
      <left style="thin">
        <color rgb="FFCCAE7F"/>
      </left>
      <right style="thin">
        <color rgb="FFCCAE7F"/>
      </right>
      <top style="medium">
        <color rgb="FFCCAE7F"/>
      </top>
      <bottom style="medium">
        <color rgb="FFCCAE7F"/>
      </bottom>
      <diagonal/>
    </border>
    <border>
      <left style="thin">
        <color rgb="FFCCAE7F"/>
      </left>
      <right style="medium">
        <color rgb="FFCCAE7F"/>
      </right>
      <top style="medium">
        <color rgb="FFCCAE7F"/>
      </top>
      <bottom style="medium">
        <color rgb="FFCCAE7F"/>
      </bottom>
      <diagonal/>
    </border>
    <border>
      <left/>
      <right style="thin">
        <color rgb="FFCCAE7F"/>
      </right>
      <top style="medium">
        <color rgb="FFCCAE7F"/>
      </top>
      <bottom style="medium">
        <color rgb="FFCCAE7F"/>
      </bottom>
      <diagonal/>
    </border>
    <border>
      <left style="medium">
        <color rgb="FF00B7C5"/>
      </left>
      <right style="thin">
        <color rgb="FF00B7C5"/>
      </right>
      <top style="medium">
        <color rgb="FF00B7C5"/>
      </top>
      <bottom style="medium">
        <color rgb="FF00B7C5"/>
      </bottom>
      <diagonal/>
    </border>
    <border>
      <left style="thin">
        <color rgb="FF00B7C5"/>
      </left>
      <right/>
      <top/>
      <bottom style="thin">
        <color rgb="FF00B7C5"/>
      </bottom>
      <diagonal/>
    </border>
    <border>
      <left style="thin">
        <color rgb="FF00B7C5"/>
      </left>
      <right/>
      <top style="thin">
        <color rgb="FF00B7C5"/>
      </top>
      <bottom style="thin">
        <color rgb="FF00B7C5"/>
      </bottom>
      <diagonal/>
    </border>
    <border>
      <left style="thin">
        <color rgb="FF00B7C5"/>
      </left>
      <right style="thin">
        <color rgb="FF00B7C5"/>
      </right>
      <top style="thin">
        <color rgb="FF00B7C5"/>
      </top>
      <bottom/>
      <diagonal/>
    </border>
    <border>
      <left style="thin">
        <color rgb="FF00B7C5"/>
      </left>
      <right/>
      <top style="thin">
        <color rgb="FF00B7C5"/>
      </top>
      <bottom/>
      <diagonal/>
    </border>
    <border>
      <left style="thin">
        <color rgb="FF00B7C5"/>
      </left>
      <right/>
      <top style="medium">
        <color rgb="FF00B7C5"/>
      </top>
      <bottom style="thin">
        <color rgb="FF00B7C5"/>
      </bottom>
      <diagonal/>
    </border>
    <border>
      <left style="medium">
        <color rgb="FF7AB3A7"/>
      </left>
      <right style="thin">
        <color theme="5"/>
      </right>
      <top style="medium">
        <color rgb="FF7AB3A7"/>
      </top>
      <bottom style="medium">
        <color rgb="FF7AB3A7"/>
      </bottom>
      <diagonal/>
    </border>
    <border>
      <left/>
      <right style="thin">
        <color rgb="FF7AB3A7"/>
      </right>
      <top/>
      <bottom style="thin">
        <color rgb="FF7AB3A7"/>
      </bottom>
      <diagonal/>
    </border>
    <border>
      <left style="thin">
        <color rgb="FF7AB3A7"/>
      </left>
      <right style="thin">
        <color rgb="FF7AB3A7"/>
      </right>
      <top/>
      <bottom style="thin">
        <color rgb="FF7AB3A7"/>
      </bottom>
      <diagonal/>
    </border>
    <border>
      <left style="thin">
        <color rgb="FF7AB3A7"/>
      </left>
      <right/>
      <top/>
      <bottom style="thin">
        <color rgb="FF7AB3A7"/>
      </bottom>
      <diagonal/>
    </border>
    <border>
      <left style="thin">
        <color rgb="FF7AB3A7"/>
      </left>
      <right/>
      <top style="thin">
        <color rgb="FF7AB3A7"/>
      </top>
      <bottom style="thin">
        <color rgb="FF7AB3A7"/>
      </bottom>
      <diagonal/>
    </border>
    <border>
      <left/>
      <right style="thin">
        <color rgb="FF7AB3A7"/>
      </right>
      <top style="thin">
        <color rgb="FF7AB3A7"/>
      </top>
      <bottom/>
      <diagonal/>
    </border>
    <border>
      <left style="thin">
        <color rgb="FF7AB3A7"/>
      </left>
      <right/>
      <top style="thin">
        <color rgb="FF7AB3A7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7AB3A7"/>
      </bottom>
      <diagonal/>
    </border>
    <border>
      <left style="thin">
        <color rgb="FFCCAE7F"/>
      </left>
      <right/>
      <top style="thin">
        <color rgb="FFCCAE7F"/>
      </top>
      <bottom style="thin">
        <color rgb="FFCCAE7F"/>
      </bottom>
      <diagonal/>
    </border>
    <border>
      <left style="medium">
        <color rgb="FFCCAE7F"/>
      </left>
      <right style="medium">
        <color rgb="FFCCAE7F"/>
      </right>
      <top style="thin">
        <color rgb="FFCCAE7F"/>
      </top>
      <bottom style="medium">
        <color rgb="FFCCAE7F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/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 style="thin">
        <color rgb="FF7AB3A7"/>
      </right>
      <top/>
      <bottom/>
      <diagonal/>
    </border>
    <border>
      <left style="thin">
        <color rgb="FF7AB3A7"/>
      </left>
      <right style="thin">
        <color rgb="FF7AB3A7"/>
      </right>
      <top/>
      <bottom/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rgb="FFCCAE7F"/>
      </left>
      <right style="thin">
        <color rgb="FFCCAE7F"/>
      </right>
      <top/>
      <bottom style="thin">
        <color rgb="FFCCAE7F"/>
      </bottom>
      <diagonal/>
    </border>
    <border>
      <left style="thin">
        <color rgb="FFCCAE7F"/>
      </left>
      <right style="thin">
        <color rgb="FFCCAE7F"/>
      </right>
      <top/>
      <bottom style="thin">
        <color rgb="FFCCAE7F"/>
      </bottom>
      <diagonal/>
    </border>
    <border>
      <left style="thin">
        <color rgb="FFCCAE7F"/>
      </left>
      <right/>
      <top/>
      <bottom style="thin">
        <color rgb="FFCCAE7F"/>
      </bottom>
      <diagonal/>
    </border>
    <border>
      <left style="medium">
        <color rgb="FFCCAE7F"/>
      </left>
      <right/>
      <top style="medium">
        <color rgb="FFCCAE7F"/>
      </top>
      <bottom style="thin">
        <color rgb="FFCCAE7F"/>
      </bottom>
      <diagonal/>
    </border>
    <border>
      <left/>
      <right/>
      <top style="medium">
        <color rgb="FFCCAE7F"/>
      </top>
      <bottom style="thin">
        <color rgb="FFCCAE7F"/>
      </bottom>
      <diagonal/>
    </border>
    <border>
      <left/>
      <right style="medium">
        <color rgb="FFCCAE7F"/>
      </right>
      <top style="medium">
        <color rgb="FFCCAE7F"/>
      </top>
      <bottom style="thin">
        <color rgb="FFCCAE7F"/>
      </bottom>
      <diagonal/>
    </border>
    <border>
      <left style="medium">
        <color rgb="FFCCAE7F"/>
      </left>
      <right/>
      <top style="thin">
        <color rgb="FFCCAE7F"/>
      </top>
      <bottom style="medium">
        <color rgb="FFCCAE7F"/>
      </bottom>
      <diagonal/>
    </border>
    <border>
      <left/>
      <right/>
      <top style="thin">
        <color rgb="FFCCAE7F"/>
      </top>
      <bottom style="medium">
        <color rgb="FFCCAE7F"/>
      </bottom>
      <diagonal/>
    </border>
    <border>
      <left/>
      <right style="medium">
        <color rgb="FFCCAE7F"/>
      </right>
      <top style="thin">
        <color rgb="FFCCAE7F"/>
      </top>
      <bottom style="medium">
        <color rgb="FFCCAE7F"/>
      </bottom>
      <diagonal/>
    </border>
    <border>
      <left/>
      <right/>
      <top/>
      <bottom style="medium">
        <color rgb="FFCCAE7F"/>
      </bottom>
      <diagonal/>
    </border>
    <border>
      <left style="thin">
        <color rgb="FFCCAE7F"/>
      </left>
      <right/>
      <top/>
      <bottom/>
      <diagonal/>
    </border>
    <border>
      <left style="medium">
        <color rgb="FF00B7C5"/>
      </left>
      <right/>
      <top style="medium">
        <color rgb="FF00B7C5"/>
      </top>
      <bottom style="thin">
        <color rgb="FF00B7C5"/>
      </bottom>
      <diagonal/>
    </border>
    <border>
      <left/>
      <right/>
      <top style="medium">
        <color rgb="FF00B7C5"/>
      </top>
      <bottom style="thin">
        <color rgb="FF00B7C5"/>
      </bottom>
      <diagonal/>
    </border>
    <border>
      <left/>
      <right style="medium">
        <color rgb="FF00B7C5"/>
      </right>
      <top style="medium">
        <color rgb="FF00B7C5"/>
      </top>
      <bottom style="thin">
        <color rgb="FF00B7C5"/>
      </bottom>
      <diagonal/>
    </border>
    <border>
      <left style="medium">
        <color rgb="FF00B7C5"/>
      </left>
      <right/>
      <top style="thin">
        <color rgb="FF00B7C5"/>
      </top>
      <bottom/>
      <diagonal/>
    </border>
    <border>
      <left/>
      <right/>
      <top style="thin">
        <color rgb="FF00B7C5"/>
      </top>
      <bottom/>
      <diagonal/>
    </border>
    <border>
      <left/>
      <right style="medium">
        <color rgb="FF00B7C5"/>
      </right>
      <top style="thin">
        <color rgb="FF00B7C5"/>
      </top>
      <bottom/>
      <diagonal/>
    </border>
    <border>
      <left style="medium">
        <color rgb="FF7AB3A7"/>
      </left>
      <right/>
      <top style="thin">
        <color rgb="FF7AB3A7"/>
      </top>
      <bottom style="medium">
        <color rgb="FF7AB3A7"/>
      </bottom>
      <diagonal/>
    </border>
    <border>
      <left/>
      <right/>
      <top style="thin">
        <color rgb="FF7AB3A7"/>
      </top>
      <bottom style="medium">
        <color rgb="FF7AB3A7"/>
      </bottom>
      <diagonal/>
    </border>
    <border>
      <left/>
      <right style="thin">
        <color rgb="FF7AB3A7"/>
      </right>
      <top style="thin">
        <color rgb="FF7AB3A7"/>
      </top>
      <bottom style="medium">
        <color rgb="FF7AB3A7"/>
      </bottom>
      <diagonal/>
    </border>
    <border>
      <left style="medium">
        <color rgb="FF7AB3A7"/>
      </left>
      <right/>
      <top style="thin">
        <color rgb="FF7AB3A7"/>
      </top>
      <bottom style="thin">
        <color rgb="FF7AB3A7"/>
      </bottom>
      <diagonal/>
    </border>
    <border>
      <left/>
      <right/>
      <top style="thin">
        <color rgb="FF7AB3A7"/>
      </top>
      <bottom style="thin">
        <color rgb="FF7AB3A7"/>
      </bottom>
      <diagonal/>
    </border>
    <border>
      <left style="medium">
        <color rgb="FF7AB3A7"/>
      </left>
      <right/>
      <top style="medium">
        <color rgb="FF7AB3A7"/>
      </top>
      <bottom style="thin">
        <color rgb="FF7AB3A7"/>
      </bottom>
      <diagonal/>
    </border>
    <border>
      <left/>
      <right/>
      <top style="medium">
        <color rgb="FF7AB3A7"/>
      </top>
      <bottom style="thin">
        <color rgb="FF7AB3A7"/>
      </bottom>
      <diagonal/>
    </border>
    <border>
      <left/>
      <right style="thin">
        <color rgb="FF7AB3A7"/>
      </right>
      <top style="medium">
        <color rgb="FF7AB3A7"/>
      </top>
      <bottom style="thin">
        <color rgb="FF7AB3A7"/>
      </bottom>
      <diagonal/>
    </border>
    <border>
      <left/>
      <right style="medium">
        <color rgb="FF7AB3A7"/>
      </right>
      <top style="medium">
        <color rgb="FF7AB3A7"/>
      </top>
      <bottom style="thin">
        <color rgb="FF7AB3A7"/>
      </bottom>
      <diagonal/>
    </border>
    <border>
      <left/>
      <right style="medium">
        <color rgb="FF7AB3A7"/>
      </right>
      <top style="thin">
        <color rgb="FF7AB3A7"/>
      </top>
      <bottom style="thin">
        <color rgb="FF7AB3A7"/>
      </bottom>
      <diagonal/>
    </border>
    <border>
      <left/>
      <right style="medium">
        <color rgb="FF7AB3A7"/>
      </right>
      <top style="thin">
        <color rgb="FF7AB3A7"/>
      </top>
      <bottom style="medium">
        <color rgb="FF7AB3A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6">
    <xf numFmtId="0" fontId="0" fillId="0" borderId="0" xfId="0"/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horizontal="center" vertical="top"/>
    </xf>
    <xf numFmtId="17" fontId="5" fillId="8" borderId="1" xfId="0" applyNumberFormat="1" applyFont="1" applyFill="1" applyBorder="1" applyAlignment="1" applyProtection="1">
      <alignment horizontal="center"/>
      <protection locked="0"/>
    </xf>
    <xf numFmtId="164" fontId="5" fillId="8" borderId="1" xfId="0" applyNumberFormat="1" applyFont="1" applyFill="1" applyBorder="1" applyAlignment="1" applyProtection="1">
      <alignment horizontal="center"/>
      <protection locked="0"/>
    </xf>
    <xf numFmtId="17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7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5" fillId="10" borderId="0" xfId="0" applyFont="1" applyFill="1"/>
    <xf numFmtId="17" fontId="5" fillId="9" borderId="24" xfId="0" applyNumberFormat="1" applyFont="1" applyFill="1" applyBorder="1" applyAlignment="1" applyProtection="1">
      <alignment horizontal="center"/>
      <protection locked="0"/>
    </xf>
    <xf numFmtId="164" fontId="5" fillId="9" borderId="25" xfId="0" applyNumberFormat="1" applyFont="1" applyFill="1" applyBorder="1" applyAlignment="1" applyProtection="1">
      <alignment horizontal="center"/>
      <protection locked="0"/>
    </xf>
    <xf numFmtId="17" fontId="5" fillId="9" borderId="27" xfId="0" applyNumberFormat="1" applyFont="1" applyFill="1" applyBorder="1" applyAlignment="1" applyProtection="1">
      <alignment horizontal="center"/>
      <protection locked="0"/>
    </xf>
    <xf numFmtId="164" fontId="5" fillId="9" borderId="28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0" fillId="0" borderId="0" xfId="0" applyFont="1"/>
    <xf numFmtId="3" fontId="5" fillId="9" borderId="25" xfId="0" applyNumberFormat="1" applyFont="1" applyFill="1" applyBorder="1" applyAlignment="1" applyProtection="1">
      <alignment horizontal="center"/>
      <protection locked="0"/>
    </xf>
    <xf numFmtId="3" fontId="5" fillId="9" borderId="28" xfId="0" applyNumberFormat="1" applyFont="1" applyFill="1" applyBorder="1" applyAlignment="1" applyProtection="1">
      <alignment horizontal="center"/>
      <protection locked="0"/>
    </xf>
    <xf numFmtId="164" fontId="5" fillId="0" borderId="56" xfId="0" applyNumberFormat="1" applyFont="1" applyBorder="1" applyAlignment="1">
      <alignment horizontal="center"/>
    </xf>
    <xf numFmtId="2" fontId="5" fillId="9" borderId="57" xfId="0" applyNumberFormat="1" applyFont="1" applyFill="1" applyBorder="1" applyAlignment="1" applyProtection="1">
      <alignment horizontal="center"/>
      <protection locked="0"/>
    </xf>
    <xf numFmtId="2" fontId="5" fillId="9" borderId="54" xfId="0" applyNumberFormat="1" applyFont="1" applyFill="1" applyBorder="1" applyAlignment="1" applyProtection="1">
      <alignment horizontal="center"/>
      <protection locked="0"/>
    </xf>
    <xf numFmtId="17" fontId="5" fillId="0" borderId="24" xfId="0" applyNumberFormat="1" applyFont="1" applyFill="1" applyBorder="1" applyAlignment="1" applyProtection="1">
      <alignment horizontal="center"/>
    </xf>
    <xf numFmtId="17" fontId="5" fillId="0" borderId="51" xfId="0" applyNumberFormat="1" applyFont="1" applyFill="1" applyBorder="1" applyAlignment="1" applyProtection="1">
      <alignment horizontal="center"/>
    </xf>
    <xf numFmtId="0" fontId="5" fillId="0" borderId="36" xfId="0" applyFont="1" applyBorder="1"/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5" fillId="10" borderId="40" xfId="0" applyFont="1" applyFill="1" applyBorder="1"/>
    <xf numFmtId="0" fontId="5" fillId="10" borderId="41" xfId="0" applyFont="1" applyFill="1" applyBorder="1"/>
    <xf numFmtId="0" fontId="5" fillId="10" borderId="109" xfId="0" applyFont="1" applyFill="1" applyBorder="1"/>
    <xf numFmtId="17" fontId="5" fillId="0" borderId="39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44" fontId="7" fillId="0" borderId="110" xfId="2" applyFont="1" applyBorder="1" applyAlignment="1">
      <alignment horizontal="center"/>
    </xf>
    <xf numFmtId="164" fontId="5" fillId="0" borderId="111" xfId="0" applyNumberFormat="1" applyFont="1" applyBorder="1" applyAlignment="1">
      <alignment horizontal="center"/>
    </xf>
    <xf numFmtId="164" fontId="7" fillId="0" borderId="111" xfId="0" applyNumberFormat="1" applyFont="1" applyBorder="1" applyAlignment="1">
      <alignment horizontal="center"/>
    </xf>
    <xf numFmtId="44" fontId="7" fillId="0" borderId="112" xfId="2" applyFont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4" fillId="0" borderId="108" xfId="0" applyFont="1" applyBorder="1"/>
    <xf numFmtId="17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44" fontId="7" fillId="0" borderId="26" xfId="2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44" fontId="7" fillId="0" borderId="29" xfId="2" applyFont="1" applyBorder="1" applyAlignment="1">
      <alignment horizontal="center"/>
    </xf>
    <xf numFmtId="0" fontId="5" fillId="10" borderId="33" xfId="0" applyFont="1" applyFill="1" applyBorder="1"/>
    <xf numFmtId="44" fontId="7" fillId="0" borderId="113" xfId="2" applyFont="1" applyBorder="1" applyAlignment="1">
      <alignment horizontal="center"/>
    </xf>
    <xf numFmtId="0" fontId="5" fillId="10" borderId="21" xfId="0" applyFont="1" applyFill="1" applyBorder="1"/>
    <xf numFmtId="0" fontId="5" fillId="10" borderId="23" xfId="0" applyFont="1" applyFill="1" applyBorder="1"/>
    <xf numFmtId="2" fontId="5" fillId="0" borderId="24" xfId="0" applyNumberFormat="1" applyFont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44" fontId="28" fillId="0" borderId="37" xfId="2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164" fontId="28" fillId="0" borderId="33" xfId="0" applyNumberFormat="1" applyFont="1" applyBorder="1" applyAlignment="1">
      <alignment horizontal="left"/>
    </xf>
    <xf numFmtId="44" fontId="28" fillId="0" borderId="0" xfId="2" applyFont="1" applyBorder="1" applyAlignment="1">
      <alignment horizontal="center"/>
    </xf>
    <xf numFmtId="0" fontId="5" fillId="0" borderId="61" xfId="0" applyFont="1" applyBorder="1"/>
    <xf numFmtId="2" fontId="5" fillId="0" borderId="61" xfId="0" applyNumberFormat="1" applyFont="1" applyBorder="1" applyAlignment="1">
      <alignment horizontal="center"/>
    </xf>
    <xf numFmtId="0" fontId="5" fillId="11" borderId="0" xfId="0" applyFont="1" applyFill="1"/>
    <xf numFmtId="0" fontId="5" fillId="11" borderId="115" xfId="0" applyFont="1" applyFill="1" applyBorder="1"/>
    <xf numFmtId="0" fontId="5" fillId="11" borderId="116" xfId="0" applyFont="1" applyFill="1" applyBorder="1"/>
    <xf numFmtId="0" fontId="5" fillId="11" borderId="117" xfId="0" applyFont="1" applyFill="1" applyBorder="1"/>
    <xf numFmtId="17" fontId="5" fillId="0" borderId="62" xfId="0" applyNumberFormat="1" applyFont="1" applyBorder="1" applyAlignment="1">
      <alignment horizontal="center"/>
    </xf>
    <xf numFmtId="164" fontId="7" fillId="0" borderId="56" xfId="0" applyNumberFormat="1" applyFont="1" applyBorder="1" applyAlignment="1">
      <alignment horizontal="center"/>
    </xf>
    <xf numFmtId="44" fontId="7" fillId="0" borderId="118" xfId="2" applyFont="1" applyBorder="1" applyAlignment="1">
      <alignment horizontal="center"/>
    </xf>
    <xf numFmtId="17" fontId="5" fillId="0" borderId="119" xfId="0" applyNumberFormat="1" applyFont="1" applyBorder="1" applyAlignment="1">
      <alignment horizontal="center"/>
    </xf>
    <xf numFmtId="164" fontId="5" fillId="0" borderId="63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center"/>
    </xf>
    <xf numFmtId="44" fontId="7" fillId="0" borderId="120" xfId="2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4" fillId="2" borderId="50" xfId="0" applyNumberFormat="1" applyFont="1" applyFill="1" applyBorder="1" applyAlignment="1">
      <alignment horizontal="center"/>
    </xf>
    <xf numFmtId="44" fontId="15" fillId="11" borderId="0" xfId="2" applyFont="1" applyFill="1" applyBorder="1"/>
    <xf numFmtId="0" fontId="5" fillId="11" borderId="60" xfId="0" applyFont="1" applyFill="1" applyBorder="1"/>
    <xf numFmtId="0" fontId="0" fillId="11" borderId="0" xfId="0" applyFill="1"/>
    <xf numFmtId="0" fontId="5" fillId="11" borderId="47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9" fontId="5" fillId="8" borderId="1" xfId="1" applyFont="1" applyFill="1" applyBorder="1" applyAlignment="1" applyProtection="1">
      <alignment horizontal="center" vertical="center"/>
      <protection locked="0"/>
    </xf>
    <xf numFmtId="0" fontId="12" fillId="10" borderId="17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center"/>
    </xf>
    <xf numFmtId="164" fontId="28" fillId="0" borderId="108" xfId="0" applyNumberFormat="1" applyFont="1" applyBorder="1" applyAlignment="1">
      <alignment horizontal="left"/>
    </xf>
    <xf numFmtId="164" fontId="28" fillId="0" borderId="36" xfId="0" applyNumberFormat="1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9" fontId="5" fillId="0" borderId="52" xfId="1" applyFont="1" applyBorder="1" applyAlignment="1">
      <alignment horizontal="center" vertical="center"/>
    </xf>
    <xf numFmtId="9" fontId="5" fillId="0" borderId="54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9" fontId="5" fillId="0" borderId="26" xfId="1" applyFont="1" applyBorder="1" applyAlignment="1">
      <alignment horizontal="center" vertical="center"/>
    </xf>
    <xf numFmtId="9" fontId="5" fillId="0" borderId="29" xfId="1" applyFont="1" applyBorder="1" applyAlignment="1">
      <alignment horizontal="center" vertical="center"/>
    </xf>
    <xf numFmtId="0" fontId="12" fillId="11" borderId="114" xfId="0" applyFont="1" applyFill="1" applyBorder="1" applyAlignment="1">
      <alignment horizontal="center"/>
    </xf>
    <xf numFmtId="0" fontId="12" fillId="11" borderId="58" xfId="0" applyFont="1" applyFill="1" applyBorder="1" applyAlignment="1">
      <alignment horizontal="center"/>
    </xf>
    <xf numFmtId="0" fontId="12" fillId="11" borderId="59" xfId="0" applyFont="1" applyFill="1" applyBorder="1" applyAlignment="1">
      <alignment horizontal="center"/>
    </xf>
    <xf numFmtId="0" fontId="4" fillId="0" borderId="108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8" fillId="3" borderId="13" xfId="0" applyFont="1" applyFill="1" applyBorder="1" applyAlignment="1" applyProtection="1">
      <alignment horizontal="left" vertical="center"/>
      <protection hidden="1"/>
    </xf>
    <xf numFmtId="0" fontId="8" fillId="3" borderId="14" xfId="0" applyFont="1" applyFill="1" applyBorder="1" applyAlignment="1" applyProtection="1">
      <alignment horizontal="left" vertical="center"/>
      <protection hidden="1"/>
    </xf>
    <xf numFmtId="0" fontId="8" fillId="3" borderId="15" xfId="0" applyFont="1" applyFill="1" applyBorder="1" applyAlignment="1" applyProtection="1">
      <alignment horizontal="left" vertical="center"/>
      <protection hidden="1"/>
    </xf>
    <xf numFmtId="0" fontId="9" fillId="4" borderId="13" xfId="0" applyFont="1" applyFill="1" applyBorder="1" applyAlignment="1" applyProtection="1">
      <alignment horizontal="left" vertical="center"/>
      <protection hidden="1"/>
    </xf>
    <xf numFmtId="0" fontId="9" fillId="4" borderId="14" xfId="0" applyFont="1" applyFill="1" applyBorder="1" applyAlignment="1" applyProtection="1">
      <alignment horizontal="left" vertical="center"/>
      <protection hidden="1"/>
    </xf>
    <xf numFmtId="0" fontId="9" fillId="4" borderId="15" xfId="0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4" xfId="0" applyFont="1" applyFill="1" applyBorder="1" applyAlignment="1" applyProtection="1">
      <alignment horizontal="left" vertical="center"/>
      <protection hidden="1"/>
    </xf>
    <xf numFmtId="0" fontId="9" fillId="2" borderId="15" xfId="0" applyFont="1" applyFill="1" applyBorder="1" applyAlignment="1" applyProtection="1">
      <alignment horizontal="left" vertical="center"/>
      <protection hidden="1"/>
    </xf>
    <xf numFmtId="0" fontId="9" fillId="5" borderId="13" xfId="0" applyFont="1" applyFill="1" applyBorder="1" applyAlignment="1" applyProtection="1">
      <alignment horizontal="left" vertical="center"/>
      <protection hidden="1"/>
    </xf>
    <xf numFmtId="0" fontId="9" fillId="5" borderId="14" xfId="0" applyFont="1" applyFill="1" applyBorder="1" applyAlignment="1" applyProtection="1">
      <alignment horizontal="left" vertical="center"/>
      <protection hidden="1"/>
    </xf>
    <xf numFmtId="0" fontId="9" fillId="5" borderId="15" xfId="0" applyFont="1" applyFill="1" applyBorder="1" applyAlignment="1" applyProtection="1">
      <alignment horizontal="left" vertical="center"/>
      <protection hidden="1"/>
    </xf>
    <xf numFmtId="0" fontId="14" fillId="9" borderId="99" xfId="0" applyFont="1" applyFill="1" applyBorder="1" applyAlignment="1" applyProtection="1">
      <alignment horizontal="center"/>
      <protection locked="0"/>
    </xf>
    <xf numFmtId="2" fontId="5" fillId="0" borderId="99" xfId="0" applyNumberFormat="1" applyFont="1" applyFill="1" applyBorder="1" applyAlignment="1" applyProtection="1">
      <alignment horizontal="center"/>
    </xf>
    <xf numFmtId="2" fontId="5" fillId="0" borderId="99" xfId="0" applyNumberFormat="1" applyFont="1" applyFill="1" applyBorder="1" applyAlignment="1" applyProtection="1">
      <alignment horizontal="center"/>
    </xf>
    <xf numFmtId="2" fontId="5" fillId="0" borderId="100" xfId="0" applyNumberFormat="1" applyFont="1" applyFill="1" applyBorder="1" applyAlignment="1" applyProtection="1">
      <alignment horizontal="center"/>
    </xf>
    <xf numFmtId="0" fontId="14" fillId="9" borderId="102" xfId="0" applyFont="1" applyFill="1" applyBorder="1" applyAlignment="1" applyProtection="1">
      <alignment horizontal="center"/>
      <protection locked="0"/>
    </xf>
    <xf numFmtId="2" fontId="5" fillId="0" borderId="102" xfId="0" applyNumberFormat="1" applyFont="1" applyFill="1" applyBorder="1" applyAlignment="1" applyProtection="1">
      <alignment horizontal="center"/>
    </xf>
    <xf numFmtId="2" fontId="5" fillId="0" borderId="102" xfId="0" applyNumberFormat="1" applyFont="1" applyFill="1" applyBorder="1" applyAlignment="1" applyProtection="1">
      <alignment horizontal="center"/>
    </xf>
    <xf numFmtId="2" fontId="5" fillId="0" borderId="103" xfId="0" applyNumberFormat="1" applyFont="1" applyFill="1" applyBorder="1" applyAlignment="1" applyProtection="1">
      <alignment horizontal="center"/>
    </xf>
    <xf numFmtId="165" fontId="5" fillId="9" borderId="101" xfId="2" applyNumberFormat="1" applyFont="1" applyFill="1" applyBorder="1" applyAlignment="1" applyProtection="1">
      <alignment horizontal="center"/>
      <protection locked="0"/>
    </xf>
    <xf numFmtId="165" fontId="5" fillId="0" borderId="102" xfId="2" applyNumberFormat="1" applyFont="1" applyFill="1" applyBorder="1" applyAlignment="1" applyProtection="1">
      <alignment horizontal="center"/>
    </xf>
    <xf numFmtId="165" fontId="5" fillId="0" borderId="103" xfId="2" applyNumberFormat="1" applyFont="1" applyFill="1" applyBorder="1" applyAlignment="1" applyProtection="1">
      <alignment horizontal="center"/>
    </xf>
    <xf numFmtId="165" fontId="5" fillId="9" borderId="27" xfId="2" applyNumberFormat="1" applyFont="1" applyFill="1" applyBorder="1" applyAlignment="1" applyProtection="1">
      <alignment horizontal="center"/>
      <protection locked="0"/>
    </xf>
    <xf numFmtId="165" fontId="5" fillId="9" borderId="28" xfId="2" applyNumberFormat="1" applyFont="1" applyFill="1" applyBorder="1" applyAlignment="1" applyProtection="1">
      <alignment horizontal="center"/>
      <protection locked="0"/>
    </xf>
    <xf numFmtId="0" fontId="5" fillId="9" borderId="155" xfId="0" applyFont="1" applyFill="1" applyBorder="1" applyAlignment="1" applyProtection="1">
      <alignment horizontal="center"/>
      <protection locked="0"/>
    </xf>
    <xf numFmtId="0" fontId="5" fillId="9" borderId="156" xfId="0" applyFont="1" applyFill="1" applyBorder="1" applyAlignment="1" applyProtection="1">
      <alignment horizontal="center"/>
      <protection locked="0"/>
    </xf>
    <xf numFmtId="0" fontId="5" fillId="9" borderId="157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 wrapText="1"/>
    </xf>
    <xf numFmtId="0" fontId="6" fillId="6" borderId="3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10" borderId="6" xfId="0" applyFill="1" applyBorder="1" applyProtection="1"/>
    <xf numFmtId="44" fontId="0" fillId="0" borderId="1" xfId="2" applyFont="1" applyBorder="1" applyProtection="1"/>
    <xf numFmtId="0" fontId="0" fillId="11" borderId="6" xfId="0" applyFill="1" applyBorder="1" applyProtection="1"/>
    <xf numFmtId="0" fontId="0" fillId="0" borderId="20" xfId="0" applyBorder="1" applyProtection="1"/>
    <xf numFmtId="44" fontId="0" fillId="0" borderId="2" xfId="2" applyFont="1" applyBorder="1" applyProtection="1"/>
    <xf numFmtId="0" fontId="6" fillId="2" borderId="125" xfId="0" applyFont="1" applyFill="1" applyBorder="1" applyAlignment="1" applyProtection="1">
      <alignment horizontal="center"/>
    </xf>
    <xf numFmtId="0" fontId="6" fillId="2" borderId="126" xfId="0" applyFont="1" applyFill="1" applyBorder="1" applyAlignment="1" applyProtection="1">
      <alignment horizontal="center"/>
    </xf>
    <xf numFmtId="0" fontId="17" fillId="0" borderId="10" xfId="0" applyFont="1" applyBorder="1" applyProtection="1"/>
    <xf numFmtId="44" fontId="18" fillId="0" borderId="11" xfId="2" applyFont="1" applyBorder="1" applyProtection="1"/>
    <xf numFmtId="0" fontId="18" fillId="2" borderId="11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0" fontId="0" fillId="0" borderId="127" xfId="0" applyBorder="1" applyAlignment="1" applyProtection="1">
      <alignment horizontal="center"/>
    </xf>
    <xf numFmtId="0" fontId="0" fillId="0" borderId="128" xfId="0" applyBorder="1" applyAlignment="1" applyProtection="1">
      <alignment horizontal="center"/>
    </xf>
    <xf numFmtId="0" fontId="0" fillId="0" borderId="6" xfId="0" applyBorder="1" applyProtection="1"/>
    <xf numFmtId="0" fontId="6" fillId="0" borderId="0" xfId="0" applyFont="1" applyProtection="1"/>
    <xf numFmtId="0" fontId="0" fillId="0" borderId="129" xfId="0" applyBorder="1" applyAlignment="1" applyProtection="1">
      <alignment horizontal="center"/>
    </xf>
    <xf numFmtId="0" fontId="0" fillId="0" borderId="130" xfId="0" applyBorder="1" applyAlignment="1" applyProtection="1">
      <alignment horizontal="center"/>
    </xf>
    <xf numFmtId="44" fontId="18" fillId="0" borderId="11" xfId="0" applyNumberFormat="1" applyFont="1" applyBorder="1" applyProtection="1"/>
    <xf numFmtId="0" fontId="29" fillId="0" borderId="131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2" fillId="7" borderId="10" xfId="0" applyFont="1" applyFill="1" applyBorder="1" applyAlignment="1" applyProtection="1">
      <alignment horizontal="center"/>
    </xf>
    <xf numFmtId="0" fontId="12" fillId="7" borderId="11" xfId="0" applyFont="1" applyFill="1" applyBorder="1" applyAlignment="1" applyProtection="1">
      <alignment horizontal="center"/>
    </xf>
    <xf numFmtId="0" fontId="12" fillId="7" borderId="12" xfId="0" applyFont="1" applyFill="1" applyBorder="1" applyAlignment="1" applyProtection="1">
      <alignment horizontal="center"/>
    </xf>
    <xf numFmtId="0" fontId="5" fillId="0" borderId="0" xfId="0" applyFont="1" applyProtection="1"/>
    <xf numFmtId="2" fontId="5" fillId="0" borderId="1" xfId="0" applyNumberFormat="1" applyFont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</xf>
    <xf numFmtId="2" fontId="5" fillId="0" borderId="0" xfId="0" applyNumberFormat="1" applyFont="1" applyAlignment="1" applyProtection="1">
      <alignment horizontal="center"/>
    </xf>
    <xf numFmtId="2" fontId="5" fillId="0" borderId="0" xfId="0" applyNumberFormat="1" applyFont="1" applyAlignment="1" applyProtection="1">
      <alignment horizontal="center" vertical="top"/>
    </xf>
    <xf numFmtId="0" fontId="12" fillId="10" borderId="17" xfId="0" applyFont="1" applyFill="1" applyBorder="1" applyAlignment="1" applyProtection="1">
      <alignment horizontal="center"/>
    </xf>
    <xf numFmtId="0" fontId="12" fillId="10" borderId="18" xfId="0" applyFont="1" applyFill="1" applyBorder="1" applyAlignment="1" applyProtection="1">
      <alignment horizontal="center"/>
    </xf>
    <xf numFmtId="0" fontId="12" fillId="10" borderId="19" xfId="0" applyFont="1" applyFill="1" applyBorder="1" applyAlignment="1" applyProtection="1">
      <alignment horizontal="center"/>
    </xf>
    <xf numFmtId="0" fontId="5" fillId="10" borderId="0" xfId="0" applyFont="1" applyFill="1" applyProtection="1"/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12" fillId="10" borderId="19" xfId="0" applyFont="1" applyFill="1" applyBorder="1" applyAlignment="1" applyProtection="1"/>
    <xf numFmtId="0" fontId="0" fillId="10" borderId="0" xfId="0" applyFill="1" applyProtection="1"/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0" fontId="5" fillId="10" borderId="30" xfId="0" applyFont="1" applyFill="1" applyBorder="1" applyAlignment="1" applyProtection="1">
      <alignment horizontal="center"/>
    </xf>
    <xf numFmtId="0" fontId="5" fillId="10" borderId="31" xfId="0" applyFont="1" applyFill="1" applyBorder="1" applyAlignment="1" applyProtection="1">
      <alignment horizontal="center"/>
    </xf>
    <xf numFmtId="2" fontId="5" fillId="10" borderId="31" xfId="0" applyNumberFormat="1" applyFont="1" applyFill="1" applyBorder="1" applyAlignment="1" applyProtection="1">
      <alignment horizontal="center"/>
    </xf>
    <xf numFmtId="2" fontId="5" fillId="10" borderId="32" xfId="0" applyNumberFormat="1" applyFont="1" applyFill="1" applyBorder="1" applyAlignment="1" applyProtection="1">
      <alignment horizontal="center"/>
    </xf>
    <xf numFmtId="0" fontId="2" fillId="10" borderId="0" xfId="0" applyFont="1" applyFill="1" applyBorder="1" applyProtection="1"/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 vertical="top" wrapText="1"/>
    </xf>
    <xf numFmtId="2" fontId="4" fillId="0" borderId="22" xfId="0" applyNumberFormat="1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4" fontId="5" fillId="0" borderId="25" xfId="0" applyNumberFormat="1" applyFont="1" applyFill="1" applyBorder="1" applyAlignment="1" applyProtection="1">
      <alignment horizontal="center"/>
    </xf>
    <xf numFmtId="2" fontId="5" fillId="0" borderId="25" xfId="0" applyNumberFormat="1" applyFont="1" applyFill="1" applyBorder="1" applyAlignment="1" applyProtection="1">
      <alignment horizontal="center"/>
    </xf>
    <xf numFmtId="2" fontId="5" fillId="0" borderId="26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4" fontId="5" fillId="0" borderId="28" xfId="0" applyNumberFormat="1" applyFont="1" applyFill="1" applyBorder="1" applyAlignment="1" applyProtection="1">
      <alignment horizontal="center"/>
    </xf>
    <xf numFmtId="2" fontId="5" fillId="0" borderId="28" xfId="0" applyNumberFormat="1" applyFont="1" applyFill="1" applyBorder="1" applyAlignment="1" applyProtection="1">
      <alignment horizontal="center"/>
    </xf>
    <xf numFmtId="2" fontId="5" fillId="0" borderId="29" xfId="0" applyNumberFormat="1" applyFont="1" applyFill="1" applyBorder="1" applyAlignment="1" applyProtection="1">
      <alignment horizontal="center"/>
    </xf>
    <xf numFmtId="0" fontId="16" fillId="0" borderId="34" xfId="0" applyFont="1" applyBorder="1" applyAlignment="1" applyProtection="1">
      <alignment horizontal="left"/>
    </xf>
    <xf numFmtId="0" fontId="16" fillId="0" borderId="35" xfId="0" applyFont="1" applyBorder="1" applyAlignment="1" applyProtection="1">
      <alignment horizontal="left"/>
    </xf>
    <xf numFmtId="4" fontId="16" fillId="0" borderId="36" xfId="0" applyNumberFormat="1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center"/>
    </xf>
    <xf numFmtId="4" fontId="16" fillId="0" borderId="37" xfId="0" applyNumberFormat="1" applyFont="1" applyBorder="1" applyAlignment="1" applyProtection="1">
      <alignment horizontal="center"/>
    </xf>
    <xf numFmtId="0" fontId="12" fillId="10" borderId="35" xfId="0" applyFont="1" applyFill="1" applyBorder="1" applyAlignment="1" applyProtection="1"/>
    <xf numFmtId="0" fontId="15" fillId="10" borderId="34" xfId="0" applyFont="1" applyFill="1" applyBorder="1" applyAlignment="1" applyProtection="1">
      <alignment horizontal="center"/>
    </xf>
    <xf numFmtId="0" fontId="15" fillId="10" borderId="35" xfId="0" applyFont="1" applyFill="1" applyBorder="1" applyAlignment="1" applyProtection="1">
      <alignment horizontal="center"/>
    </xf>
    <xf numFmtId="4" fontId="15" fillId="10" borderId="38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12" fillId="1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149" xfId="0" applyFont="1" applyBorder="1" applyAlignment="1" applyProtection="1">
      <alignment horizontal="center"/>
    </xf>
    <xf numFmtId="0" fontId="4" fillId="0" borderId="150" xfId="0" applyFont="1" applyBorder="1" applyAlignment="1" applyProtection="1">
      <alignment horizontal="center"/>
    </xf>
    <xf numFmtId="0" fontId="4" fillId="0" borderId="151" xfId="0" applyFont="1" applyBorder="1" applyAlignment="1" applyProtection="1">
      <alignment horizontal="center"/>
    </xf>
    <xf numFmtId="0" fontId="4" fillId="0" borderId="152" xfId="0" applyFont="1" applyBorder="1" applyAlignment="1" applyProtection="1">
      <alignment horizontal="center"/>
    </xf>
    <xf numFmtId="0" fontId="4" fillId="0" borderId="153" xfId="0" applyFont="1" applyBorder="1" applyAlignment="1" applyProtection="1">
      <alignment horizontal="center"/>
    </xf>
    <xf numFmtId="0" fontId="4" fillId="0" borderId="154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5" fillId="0" borderId="28" xfId="2" applyNumberFormat="1" applyFont="1" applyBorder="1" applyAlignment="1" applyProtection="1">
      <alignment horizontal="center"/>
    </xf>
    <xf numFmtId="165" fontId="5" fillId="0" borderId="29" xfId="2" applyNumberFormat="1" applyFont="1" applyBorder="1" applyAlignment="1" applyProtection="1">
      <alignment horizontal="center"/>
    </xf>
    <xf numFmtId="0" fontId="4" fillId="14" borderId="23" xfId="0" applyFont="1" applyFill="1" applyBorder="1" applyAlignment="1" applyProtection="1">
      <alignment horizontal="center"/>
    </xf>
    <xf numFmtId="0" fontId="2" fillId="10" borderId="0" xfId="0" applyFont="1" applyFill="1" applyProtection="1"/>
    <xf numFmtId="165" fontId="5" fillId="0" borderId="25" xfId="0" applyNumberFormat="1" applyFont="1" applyBorder="1" applyAlignment="1" applyProtection="1">
      <alignment horizontal="center"/>
    </xf>
    <xf numFmtId="0" fontId="0" fillId="0" borderId="26" xfId="0" applyBorder="1" applyProtection="1"/>
    <xf numFmtId="165" fontId="5" fillId="0" borderId="28" xfId="0" applyNumberFormat="1" applyFont="1" applyBorder="1" applyAlignment="1" applyProtection="1">
      <alignment horizontal="center"/>
    </xf>
    <xf numFmtId="0" fontId="0" fillId="0" borderId="29" xfId="0" applyBorder="1" applyProtection="1"/>
    <xf numFmtId="0" fontId="4" fillId="0" borderId="34" xfId="0" applyFont="1" applyBorder="1" applyProtection="1"/>
    <xf numFmtId="0" fontId="5" fillId="0" borderId="35" xfId="0" applyFont="1" applyBorder="1" applyProtection="1"/>
    <xf numFmtId="165" fontId="4" fillId="0" borderId="36" xfId="0" applyNumberFormat="1" applyFont="1" applyBorder="1" applyAlignment="1" applyProtection="1">
      <alignment horizontal="center"/>
    </xf>
    <xf numFmtId="0" fontId="5" fillId="0" borderId="38" xfId="0" applyFont="1" applyBorder="1" applyProtection="1"/>
    <xf numFmtId="0" fontId="17" fillId="10" borderId="0" xfId="0" applyFont="1" applyFill="1" applyProtection="1"/>
    <xf numFmtId="0" fontId="20" fillId="10" borderId="34" xfId="0" applyFont="1" applyFill="1" applyBorder="1" applyProtection="1"/>
    <xf numFmtId="0" fontId="21" fillId="10" borderId="35" xfId="0" applyFont="1" applyFill="1" applyBorder="1" applyProtection="1"/>
    <xf numFmtId="0" fontId="15" fillId="10" borderId="38" xfId="0" applyFont="1" applyFill="1" applyBorder="1" applyAlignment="1" applyProtection="1">
      <alignment horizontal="center"/>
    </xf>
    <xf numFmtId="165" fontId="15" fillId="10" borderId="38" xfId="0" applyNumberFormat="1" applyFont="1" applyFill="1" applyBorder="1" applyAlignment="1" applyProtection="1">
      <alignment horizontal="center"/>
    </xf>
    <xf numFmtId="0" fontId="17" fillId="0" borderId="0" xfId="0" applyFont="1" applyProtection="1"/>
    <xf numFmtId="0" fontId="4" fillId="0" borderId="0" xfId="0" applyFont="1" applyProtection="1"/>
    <xf numFmtId="0" fontId="22" fillId="10" borderId="42" xfId="0" applyFont="1" applyFill="1" applyBorder="1" applyProtection="1"/>
    <xf numFmtId="0" fontId="13" fillId="10" borderId="43" xfId="0" applyFont="1" applyFill="1" applyBorder="1" applyProtection="1"/>
    <xf numFmtId="165" fontId="23" fillId="10" borderId="44" xfId="0" applyNumberFormat="1" applyFont="1" applyFill="1" applyBorder="1" applyAlignment="1" applyProtection="1">
      <alignment horizontal="center"/>
    </xf>
    <xf numFmtId="0" fontId="5" fillId="9" borderId="27" xfId="0" applyFont="1" applyFill="1" applyBorder="1" applyAlignment="1" applyProtection="1">
      <alignment horizontal="center"/>
      <protection locked="0"/>
    </xf>
    <xf numFmtId="0" fontId="5" fillId="9" borderId="28" xfId="0" applyFont="1" applyFill="1" applyBorder="1" applyAlignment="1" applyProtection="1">
      <alignment horizontal="center"/>
      <protection locked="0"/>
    </xf>
    <xf numFmtId="2" fontId="5" fillId="9" borderId="28" xfId="0" applyNumberFormat="1" applyFont="1" applyFill="1" applyBorder="1" applyAlignment="1" applyProtection="1">
      <alignment horizontal="center"/>
      <protection locked="0"/>
    </xf>
    <xf numFmtId="2" fontId="5" fillId="9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12" fillId="11" borderId="46" xfId="0" applyFont="1" applyFill="1" applyBorder="1" applyAlignment="1" applyProtection="1">
      <alignment horizontal="center"/>
    </xf>
    <xf numFmtId="0" fontId="12" fillId="11" borderId="47" xfId="0" applyFont="1" applyFill="1" applyBorder="1" applyAlignment="1" applyProtection="1">
      <alignment horizontal="center"/>
    </xf>
    <xf numFmtId="0" fontId="12" fillId="11" borderId="48" xfId="0" applyFont="1" applyFill="1" applyBorder="1" applyAlignment="1" applyProtection="1">
      <alignment horizontal="center"/>
    </xf>
    <xf numFmtId="0" fontId="4" fillId="0" borderId="160" xfId="0" applyFont="1" applyBorder="1" applyAlignment="1" applyProtection="1">
      <alignment horizontal="center"/>
    </xf>
    <xf numFmtId="0" fontId="4" fillId="0" borderId="161" xfId="0" applyFont="1" applyBorder="1" applyAlignment="1" applyProtection="1">
      <alignment horizontal="center"/>
    </xf>
    <xf numFmtId="0" fontId="4" fillId="0" borderId="162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2" fillId="0" borderId="0" xfId="0" applyFont="1" applyBorder="1" applyProtection="1"/>
    <xf numFmtId="0" fontId="4" fillId="0" borderId="158" xfId="0" applyFont="1" applyBorder="1" applyAlignment="1" applyProtection="1">
      <alignment horizontal="center"/>
    </xf>
    <xf numFmtId="0" fontId="4" fillId="0" borderId="159" xfId="0" applyFont="1" applyBorder="1" applyAlignment="1" applyProtection="1">
      <alignment horizontal="center"/>
    </xf>
    <xf numFmtId="0" fontId="4" fillId="0" borderId="62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5" fillId="0" borderId="158" xfId="0" applyFont="1" applyBorder="1" applyAlignment="1" applyProtection="1">
      <alignment horizontal="center"/>
    </xf>
    <xf numFmtId="0" fontId="5" fillId="0" borderId="159" xfId="0" applyFont="1" applyBorder="1" applyAlignment="1" applyProtection="1">
      <alignment horizontal="center"/>
    </xf>
    <xf numFmtId="0" fontId="5" fillId="0" borderId="62" xfId="0" applyFont="1" applyBorder="1" applyAlignment="1" applyProtection="1">
      <alignment horizontal="center"/>
    </xf>
    <xf numFmtId="0" fontId="5" fillId="0" borderId="56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1" fontId="4" fillId="0" borderId="55" xfId="0" applyNumberFormat="1" applyFont="1" applyBorder="1" applyAlignment="1" applyProtection="1">
      <alignment horizontal="center" vertical="top" wrapText="1"/>
    </xf>
    <xf numFmtId="2" fontId="4" fillId="0" borderId="55" xfId="0" applyNumberFormat="1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5" fillId="0" borderId="56" xfId="0" applyNumberFormat="1" applyFont="1" applyBorder="1" applyAlignment="1" applyProtection="1">
      <alignment horizontal="center"/>
    </xf>
    <xf numFmtId="1" fontId="5" fillId="0" borderId="56" xfId="0" applyNumberFormat="1" applyFont="1" applyBorder="1" applyAlignment="1" applyProtection="1">
      <alignment horizontal="center"/>
    </xf>
    <xf numFmtId="4" fontId="5" fillId="0" borderId="56" xfId="0" applyNumberFormat="1" applyFont="1" applyBorder="1" applyAlignment="1" applyProtection="1">
      <alignment horizontal="center"/>
    </xf>
    <xf numFmtId="2" fontId="5" fillId="0" borderId="52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center"/>
    </xf>
    <xf numFmtId="164" fontId="5" fillId="0" borderId="57" xfId="0" applyNumberFormat="1" applyFont="1" applyBorder="1" applyAlignment="1" applyProtection="1">
      <alignment horizontal="center"/>
    </xf>
    <xf numFmtId="1" fontId="5" fillId="0" borderId="57" xfId="0" applyNumberFormat="1" applyFont="1" applyBorder="1" applyAlignment="1" applyProtection="1">
      <alignment horizontal="center"/>
    </xf>
    <xf numFmtId="4" fontId="5" fillId="0" borderId="57" xfId="0" applyNumberFormat="1" applyFont="1" applyBorder="1" applyAlignment="1" applyProtection="1">
      <alignment horizontal="center"/>
    </xf>
    <xf numFmtId="2" fontId="5" fillId="0" borderId="54" xfId="0" applyNumberFormat="1" applyFont="1" applyBorder="1" applyAlignment="1" applyProtection="1">
      <alignment horizontal="center"/>
    </xf>
    <xf numFmtId="0" fontId="16" fillId="0" borderId="46" xfId="0" applyFont="1" applyBorder="1" applyAlignment="1" applyProtection="1">
      <alignment horizontal="left"/>
    </xf>
    <xf numFmtId="0" fontId="16" fillId="0" borderId="47" xfId="0" applyFont="1" applyBorder="1" applyAlignment="1" applyProtection="1">
      <alignment horizontal="left"/>
    </xf>
    <xf numFmtId="0" fontId="16" fillId="0" borderId="64" xfId="0" applyFont="1" applyBorder="1" applyAlignment="1" applyProtection="1">
      <alignment horizontal="left"/>
    </xf>
    <xf numFmtId="4" fontId="16" fillId="0" borderId="61" xfId="0" applyNumberFormat="1" applyFont="1" applyBorder="1" applyAlignment="1" applyProtection="1">
      <alignment horizontal="center"/>
    </xf>
    <xf numFmtId="4" fontId="16" fillId="0" borderId="6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24" fillId="11" borderId="47" xfId="0" applyFont="1" applyFill="1" applyBorder="1" applyProtection="1"/>
    <xf numFmtId="0" fontId="15" fillId="11" borderId="46" xfId="0" applyFont="1" applyFill="1" applyBorder="1" applyAlignment="1" applyProtection="1">
      <alignment horizontal="center"/>
    </xf>
    <xf numFmtId="0" fontId="15" fillId="11" borderId="47" xfId="0" applyFont="1" applyFill="1" applyBorder="1" applyAlignment="1" applyProtection="1">
      <alignment horizontal="center"/>
    </xf>
    <xf numFmtId="4" fontId="15" fillId="11" borderId="48" xfId="0" applyNumberFormat="1" applyFont="1" applyFill="1" applyBorder="1" applyAlignment="1" applyProtection="1">
      <alignment horizontal="center"/>
    </xf>
    <xf numFmtId="0" fontId="24" fillId="0" borderId="0" xfId="0" applyFont="1" applyProtection="1"/>
    <xf numFmtId="0" fontId="25" fillId="0" borderId="0" xfId="0" applyFont="1" applyProtection="1"/>
    <xf numFmtId="0" fontId="5" fillId="0" borderId="0" xfId="0" applyFont="1" applyBorder="1" applyProtection="1"/>
    <xf numFmtId="0" fontId="14" fillId="0" borderId="51" xfId="0" applyFont="1" applyBorder="1" applyAlignment="1" applyProtection="1">
      <alignment horizontal="center"/>
    </xf>
    <xf numFmtId="0" fontId="14" fillId="0" borderId="56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165" fontId="5" fillId="11" borderId="0" xfId="2" applyNumberFormat="1" applyFont="1" applyFill="1" applyBorder="1" applyAlignment="1" applyProtection="1">
      <alignment horizontal="center"/>
    </xf>
    <xf numFmtId="165" fontId="5" fillId="11" borderId="132" xfId="2" applyNumberFormat="1" applyFont="1" applyFill="1" applyBorder="1" applyAlignment="1" applyProtection="1">
      <alignment horizontal="center"/>
    </xf>
    <xf numFmtId="165" fontId="5" fillId="11" borderId="133" xfId="2" applyNumberFormat="1" applyFont="1" applyFill="1" applyBorder="1" applyAlignment="1" applyProtection="1">
      <alignment horizontal="center"/>
    </xf>
    <xf numFmtId="165" fontId="5" fillId="11" borderId="122" xfId="2" applyNumberFormat="1" applyFont="1" applyFill="1" applyBorder="1" applyAlignment="1" applyProtection="1">
      <alignment horizontal="center"/>
    </xf>
    <xf numFmtId="0" fontId="5" fillId="11" borderId="0" xfId="0" applyFont="1" applyFill="1" applyProtection="1"/>
    <xf numFmtId="0" fontId="4" fillId="14" borderId="50" xfId="0" applyFont="1" applyFill="1" applyBorder="1" applyAlignment="1" applyProtection="1">
      <alignment horizontal="center"/>
    </xf>
    <xf numFmtId="3" fontId="5" fillId="0" borderId="56" xfId="0" applyNumberFormat="1" applyFont="1" applyBorder="1" applyAlignment="1" applyProtection="1">
      <alignment horizontal="center"/>
    </xf>
    <xf numFmtId="165" fontId="5" fillId="0" borderId="56" xfId="0" applyNumberFormat="1" applyFont="1" applyBorder="1" applyAlignment="1" applyProtection="1">
      <alignment horizontal="center"/>
    </xf>
    <xf numFmtId="165" fontId="5" fillId="0" borderId="52" xfId="0" applyNumberFormat="1" applyFont="1" applyBorder="1" applyAlignment="1" applyProtection="1">
      <alignment horizontal="center"/>
    </xf>
    <xf numFmtId="165" fontId="5" fillId="11" borderId="0" xfId="0" applyNumberFormat="1" applyFont="1" applyFill="1" applyProtection="1"/>
    <xf numFmtId="3" fontId="5" fillId="0" borderId="57" xfId="0" applyNumberFormat="1" applyFont="1" applyBorder="1" applyAlignment="1" applyProtection="1">
      <alignment horizontal="center"/>
    </xf>
    <xf numFmtId="165" fontId="5" fillId="0" borderId="54" xfId="0" applyNumberFormat="1" applyFont="1" applyBorder="1" applyAlignment="1" applyProtection="1">
      <alignment horizontal="center"/>
    </xf>
    <xf numFmtId="0" fontId="0" fillId="11" borderId="0" xfId="0" applyFont="1" applyFill="1" applyProtection="1"/>
    <xf numFmtId="0" fontId="16" fillId="0" borderId="46" xfId="0" applyFont="1" applyBorder="1" applyProtection="1"/>
    <xf numFmtId="0" fontId="19" fillId="0" borderId="47" xfId="0" applyFont="1" applyBorder="1" applyProtection="1"/>
    <xf numFmtId="165" fontId="16" fillId="0" borderId="61" xfId="0" applyNumberFormat="1" applyFont="1" applyBorder="1" applyAlignment="1" applyProtection="1">
      <alignment horizontal="center"/>
    </xf>
    <xf numFmtId="0" fontId="19" fillId="0" borderId="66" xfId="0" applyFont="1" applyBorder="1" applyProtection="1"/>
    <xf numFmtId="0" fontId="19" fillId="11" borderId="0" xfId="0" applyFont="1" applyFill="1" applyProtection="1"/>
    <xf numFmtId="0" fontId="0" fillId="0" borderId="0" xfId="0" applyFont="1" applyProtection="1"/>
    <xf numFmtId="0" fontId="17" fillId="11" borderId="0" xfId="0" applyFont="1" applyFill="1" applyProtection="1"/>
    <xf numFmtId="0" fontId="21" fillId="11" borderId="0" xfId="0" applyFont="1" applyFill="1" applyProtection="1"/>
    <xf numFmtId="0" fontId="15" fillId="11" borderId="65" xfId="0" applyFont="1" applyFill="1" applyBorder="1" applyAlignment="1" applyProtection="1">
      <alignment horizontal="center"/>
    </xf>
    <xf numFmtId="0" fontId="15" fillId="11" borderId="66" xfId="0" applyFont="1" applyFill="1" applyBorder="1" applyAlignment="1" applyProtection="1">
      <alignment horizontal="center"/>
    </xf>
    <xf numFmtId="165" fontId="15" fillId="11" borderId="45" xfId="0" applyNumberFormat="1" applyFont="1" applyFill="1" applyBorder="1" applyAlignment="1" applyProtection="1">
      <alignment horizontal="center"/>
    </xf>
    <xf numFmtId="0" fontId="26" fillId="0" borderId="0" xfId="0" applyFont="1" applyProtection="1"/>
    <xf numFmtId="0" fontId="22" fillId="11" borderId="67" xfId="0" applyFont="1" applyFill="1" applyBorder="1" applyAlignment="1" applyProtection="1">
      <alignment horizontal="center"/>
    </xf>
    <xf numFmtId="0" fontId="22" fillId="11" borderId="68" xfId="0" applyFont="1" applyFill="1" applyBorder="1" applyAlignment="1" applyProtection="1">
      <alignment horizontal="center"/>
    </xf>
    <xf numFmtId="165" fontId="22" fillId="11" borderId="69" xfId="0" applyNumberFormat="1" applyFont="1" applyFill="1" applyBorder="1" applyAlignment="1" applyProtection="1">
      <alignment horizontal="center"/>
    </xf>
    <xf numFmtId="0" fontId="27" fillId="0" borderId="0" xfId="0" applyFont="1" applyProtection="1"/>
    <xf numFmtId="0" fontId="0" fillId="13" borderId="0" xfId="0" applyFill="1" applyProtection="1"/>
    <xf numFmtId="0" fontId="0" fillId="11" borderId="0" xfId="0" applyFill="1" applyProtection="1"/>
    <xf numFmtId="0" fontId="2" fillId="11" borderId="0" xfId="0" applyFont="1" applyFill="1" applyProtection="1"/>
    <xf numFmtId="2" fontId="5" fillId="11" borderId="0" xfId="0" applyNumberFormat="1" applyFont="1" applyFill="1" applyBorder="1" applyAlignment="1" applyProtection="1">
      <alignment horizontal="center"/>
    </xf>
    <xf numFmtId="0" fontId="12" fillId="11" borderId="160" xfId="0" applyFont="1" applyFill="1" applyBorder="1" applyAlignment="1" applyProtection="1">
      <alignment horizontal="center"/>
    </xf>
    <xf numFmtId="0" fontId="12" fillId="11" borderId="161" xfId="0" applyFont="1" applyFill="1" applyBorder="1" applyAlignment="1" applyProtection="1">
      <alignment horizontal="center"/>
    </xf>
    <xf numFmtId="0" fontId="12" fillId="11" borderId="163" xfId="0" applyFont="1" applyFill="1" applyBorder="1" applyAlignment="1" applyProtection="1">
      <alignment horizontal="center"/>
    </xf>
    <xf numFmtId="0" fontId="4" fillId="0" borderId="164" xfId="0" applyFont="1" applyBorder="1" applyAlignment="1" applyProtection="1">
      <alignment horizontal="center"/>
    </xf>
    <xf numFmtId="0" fontId="4" fillId="0" borderId="155" xfId="0" applyFont="1" applyBorder="1" applyAlignment="1" applyProtection="1">
      <alignment horizontal="center"/>
    </xf>
    <xf numFmtId="0" fontId="4" fillId="0" borderId="156" xfId="0" applyFont="1" applyBorder="1" applyAlignment="1" applyProtection="1">
      <alignment horizontal="center"/>
    </xf>
    <xf numFmtId="0" fontId="4" fillId="0" borderId="165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165" fontId="5" fillId="0" borderId="57" xfId="2" applyNumberFormat="1" applyFont="1" applyFill="1" applyBorder="1" applyAlignment="1" applyProtection="1">
      <alignment horizontal="center"/>
    </xf>
    <xf numFmtId="165" fontId="5" fillId="0" borderId="54" xfId="2" applyNumberFormat="1" applyFont="1" applyFill="1" applyBorder="1" applyAlignment="1" applyProtection="1">
      <alignment horizontal="center"/>
    </xf>
    <xf numFmtId="165" fontId="5" fillId="9" borderId="53" xfId="2" applyNumberFormat="1" applyFont="1" applyFill="1" applyBorder="1" applyAlignment="1" applyProtection="1">
      <alignment horizontal="center"/>
      <protection locked="0"/>
    </xf>
    <xf numFmtId="165" fontId="5" fillId="9" borderId="57" xfId="2" applyNumberFormat="1" applyFont="1" applyFill="1" applyBorder="1" applyAlignment="1" applyProtection="1">
      <alignment horizontal="center"/>
      <protection locked="0"/>
    </xf>
    <xf numFmtId="0" fontId="12" fillId="12" borderId="71" xfId="0" applyFont="1" applyFill="1" applyBorder="1" applyAlignment="1" applyProtection="1">
      <alignment horizontal="center"/>
    </xf>
    <xf numFmtId="0" fontId="12" fillId="12" borderId="72" xfId="0" applyFont="1" applyFill="1" applyBorder="1" applyAlignment="1" applyProtection="1">
      <alignment horizontal="center"/>
    </xf>
    <xf numFmtId="0" fontId="12" fillId="12" borderId="73" xfId="0" applyFont="1" applyFill="1" applyBorder="1" applyAlignment="1" applyProtection="1">
      <alignment horizontal="center"/>
    </xf>
    <xf numFmtId="0" fontId="4" fillId="2" borderId="71" xfId="0" applyFont="1" applyFill="1" applyBorder="1" applyAlignment="1" applyProtection="1">
      <alignment horizontal="center" vertical="top" wrapText="1"/>
    </xf>
    <xf numFmtId="0" fontId="4" fillId="2" borderId="72" xfId="0" applyFont="1" applyFill="1" applyBorder="1" applyAlignment="1" applyProtection="1">
      <alignment horizontal="center" vertical="top" wrapText="1"/>
    </xf>
    <xf numFmtId="0" fontId="4" fillId="2" borderId="73" xfId="0" applyFont="1" applyFill="1" applyBorder="1" applyAlignment="1" applyProtection="1">
      <alignment horizontal="center" vertical="top" wrapText="1"/>
    </xf>
    <xf numFmtId="0" fontId="4" fillId="0" borderId="76" xfId="0" applyFont="1" applyBorder="1" applyAlignment="1" applyProtection="1">
      <alignment horizontal="center"/>
    </xf>
    <xf numFmtId="0" fontId="4" fillId="0" borderId="7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8" xfId="0" applyFont="1" applyBorder="1" applyAlignment="1" applyProtection="1">
      <alignment horizontal="center"/>
    </xf>
    <xf numFmtId="0" fontId="4" fillId="0" borderId="7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1" fontId="5" fillId="2" borderId="7" xfId="0" applyNumberFormat="1" applyFont="1" applyFill="1" applyBorder="1" applyAlignment="1" applyProtection="1">
      <alignment horizontal="center"/>
    </xf>
    <xf numFmtId="0" fontId="14" fillId="0" borderId="79" xfId="0" applyFont="1" applyBorder="1" applyAlignment="1" applyProtection="1">
      <alignment horizontal="center"/>
    </xf>
    <xf numFmtId="2" fontId="4" fillId="0" borderId="6" xfId="0" applyNumberFormat="1" applyFont="1" applyBorder="1" applyAlignment="1" applyProtection="1"/>
    <xf numFmtId="2" fontId="4" fillId="0" borderId="7" xfId="0" applyNumberFormat="1" applyFont="1" applyBorder="1" applyAlignment="1" applyProtection="1"/>
    <xf numFmtId="0" fontId="4" fillId="0" borderId="8" xfId="0" applyFont="1" applyBorder="1" applyAlignment="1" applyProtection="1"/>
    <xf numFmtId="0" fontId="4" fillId="0" borderId="9" xfId="0" applyFont="1" applyBorder="1" applyAlignment="1" applyProtection="1"/>
    <xf numFmtId="0" fontId="4" fillId="0" borderId="76" xfId="0" applyFont="1" applyBorder="1" applyAlignment="1" applyProtection="1">
      <alignment horizontal="center"/>
    </xf>
    <xf numFmtId="0" fontId="4" fillId="0" borderId="82" xfId="0" applyFont="1" applyBorder="1" applyAlignment="1" applyProtection="1">
      <alignment horizontal="center"/>
    </xf>
    <xf numFmtId="1" fontId="4" fillId="0" borderId="82" xfId="0" applyNumberFormat="1" applyFont="1" applyBorder="1" applyAlignment="1" applyProtection="1">
      <alignment horizontal="center" vertical="top" wrapText="1"/>
    </xf>
    <xf numFmtId="2" fontId="4" fillId="0" borderId="82" xfId="0" applyNumberFormat="1" applyFont="1" applyBorder="1" applyAlignment="1" applyProtection="1">
      <alignment horizontal="center"/>
    </xf>
    <xf numFmtId="0" fontId="4" fillId="0" borderId="77" xfId="0" applyFont="1" applyBorder="1" applyAlignment="1" applyProtection="1">
      <alignment horizontal="center"/>
    </xf>
    <xf numFmtId="17" fontId="5" fillId="0" borderId="78" xfId="0" applyNumberFormat="1" applyFont="1" applyFill="1" applyBorder="1" applyAlignment="1" applyProtection="1">
      <alignment horizontal="center"/>
    </xf>
    <xf numFmtId="164" fontId="5" fillId="0" borderId="83" xfId="0" applyNumberFormat="1" applyFont="1" applyBorder="1" applyAlignment="1" applyProtection="1">
      <alignment horizontal="center"/>
    </xf>
    <xf numFmtId="1" fontId="5" fillId="0" borderId="83" xfId="0" applyNumberFormat="1" applyFont="1" applyBorder="1" applyAlignment="1" applyProtection="1">
      <alignment horizontal="center"/>
    </xf>
    <xf numFmtId="4" fontId="5" fillId="0" borderId="83" xfId="0" applyNumberFormat="1" applyFont="1" applyBorder="1" applyAlignment="1" applyProtection="1">
      <alignment horizontal="center"/>
    </xf>
    <xf numFmtId="2" fontId="5" fillId="0" borderId="79" xfId="0" applyNumberFormat="1" applyFont="1" applyBorder="1" applyAlignment="1" applyProtection="1">
      <alignment horizontal="center"/>
    </xf>
    <xf numFmtId="164" fontId="5" fillId="0" borderId="84" xfId="0" applyNumberFormat="1" applyFont="1" applyBorder="1" applyAlignment="1" applyProtection="1">
      <alignment horizontal="center"/>
    </xf>
    <xf numFmtId="1" fontId="5" fillId="0" borderId="84" xfId="0" applyNumberFormat="1" applyFont="1" applyBorder="1" applyAlignment="1" applyProtection="1">
      <alignment horizontal="center"/>
    </xf>
    <xf numFmtId="4" fontId="5" fillId="0" borderId="84" xfId="0" applyNumberFormat="1" applyFont="1" applyBorder="1" applyAlignment="1" applyProtection="1">
      <alignment horizontal="center"/>
    </xf>
    <xf numFmtId="2" fontId="5" fillId="0" borderId="81" xfId="0" applyNumberFormat="1" applyFont="1" applyBorder="1" applyAlignment="1" applyProtection="1">
      <alignment horizontal="center"/>
    </xf>
    <xf numFmtId="0" fontId="16" fillId="0" borderId="71" xfId="0" applyFont="1" applyBorder="1" applyAlignment="1" applyProtection="1">
      <alignment horizontal="left"/>
    </xf>
    <xf numFmtId="0" fontId="16" fillId="0" borderId="72" xfId="0" applyFont="1" applyBorder="1" applyAlignment="1" applyProtection="1">
      <alignment horizontal="left"/>
    </xf>
    <xf numFmtId="0" fontId="16" fillId="0" borderId="88" xfId="0" applyFont="1" applyBorder="1" applyAlignment="1" applyProtection="1">
      <alignment horizontal="left"/>
    </xf>
    <xf numFmtId="4" fontId="16" fillId="0" borderId="86" xfId="0" applyNumberFormat="1" applyFont="1" applyBorder="1" applyAlignment="1" applyProtection="1">
      <alignment horizontal="center"/>
    </xf>
    <xf numFmtId="4" fontId="16" fillId="0" borderId="85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4" fontId="16" fillId="0" borderId="0" xfId="0" applyNumberFormat="1" applyFont="1" applyBorder="1" applyAlignment="1" applyProtection="1">
      <alignment horizontal="center"/>
    </xf>
    <xf numFmtId="0" fontId="24" fillId="12" borderId="0" xfId="0" applyFont="1" applyFill="1" applyProtection="1"/>
    <xf numFmtId="0" fontId="15" fillId="12" borderId="87" xfId="0" applyFont="1" applyFill="1" applyBorder="1" applyAlignment="1" applyProtection="1">
      <alignment horizontal="center"/>
    </xf>
    <xf numFmtId="4" fontId="15" fillId="12" borderId="70" xfId="0" applyNumberFormat="1" applyFont="1" applyFill="1" applyBorder="1" applyAlignment="1" applyProtection="1">
      <alignment horizontal="center"/>
    </xf>
    <xf numFmtId="0" fontId="4" fillId="0" borderId="74" xfId="0" applyFont="1" applyBorder="1" applyAlignment="1" applyProtection="1">
      <alignment horizontal="center"/>
    </xf>
    <xf numFmtId="0" fontId="4" fillId="0" borderId="134" xfId="0" applyFont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0" borderId="135" xfId="0" applyFont="1" applyBorder="1" applyAlignment="1" applyProtection="1">
      <alignment horizontal="center"/>
    </xf>
    <xf numFmtId="0" fontId="4" fillId="0" borderId="136" xfId="0" applyFont="1" applyBorder="1" applyAlignment="1" applyProtection="1">
      <alignment horizontal="center"/>
    </xf>
    <xf numFmtId="0" fontId="4" fillId="0" borderId="137" xfId="0" applyFont="1" applyBorder="1" applyAlignment="1" applyProtection="1">
      <alignment horizontal="center"/>
    </xf>
    <xf numFmtId="0" fontId="14" fillId="0" borderId="82" xfId="0" applyFont="1" applyBorder="1" applyAlignment="1" applyProtection="1">
      <alignment horizontal="center"/>
    </xf>
    <xf numFmtId="0" fontId="14" fillId="0" borderId="77" xfId="0" applyFont="1" applyBorder="1" applyAlignment="1" applyProtection="1">
      <alignment horizontal="center"/>
    </xf>
    <xf numFmtId="165" fontId="5" fillId="0" borderId="84" xfId="2" applyNumberFormat="1" applyFont="1" applyBorder="1" applyAlignment="1" applyProtection="1">
      <alignment horizontal="center"/>
    </xf>
    <xf numFmtId="165" fontId="5" fillId="0" borderId="81" xfId="2" applyNumberFormat="1" applyFont="1" applyBorder="1" applyAlignment="1" applyProtection="1">
      <alignment horizontal="center"/>
    </xf>
    <xf numFmtId="0" fontId="4" fillId="14" borderId="77" xfId="0" applyFont="1" applyFill="1" applyBorder="1" applyAlignment="1" applyProtection="1">
      <alignment horizontal="center"/>
    </xf>
    <xf numFmtId="3" fontId="5" fillId="0" borderId="83" xfId="0" applyNumberFormat="1" applyFont="1" applyBorder="1" applyAlignment="1" applyProtection="1">
      <alignment horizontal="center"/>
    </xf>
    <xf numFmtId="165" fontId="5" fillId="0" borderId="83" xfId="0" applyNumberFormat="1" applyFont="1" applyBorder="1" applyAlignment="1" applyProtection="1">
      <alignment horizontal="center"/>
    </xf>
    <xf numFmtId="165" fontId="5" fillId="0" borderId="79" xfId="0" applyNumberFormat="1" applyFont="1" applyBorder="1" applyAlignment="1" applyProtection="1">
      <alignment horizontal="center"/>
    </xf>
    <xf numFmtId="17" fontId="5" fillId="0" borderId="80" xfId="0" applyNumberFormat="1" applyFont="1" applyFill="1" applyBorder="1" applyAlignment="1" applyProtection="1">
      <alignment horizontal="center"/>
    </xf>
    <xf numFmtId="3" fontId="5" fillId="0" borderId="84" xfId="0" applyNumberFormat="1" applyFont="1" applyBorder="1" applyAlignment="1" applyProtection="1">
      <alignment horizontal="center"/>
    </xf>
    <xf numFmtId="165" fontId="5" fillId="0" borderId="81" xfId="0" applyNumberFormat="1" applyFont="1" applyBorder="1" applyAlignment="1" applyProtection="1">
      <alignment horizontal="center"/>
    </xf>
    <xf numFmtId="165" fontId="16" fillId="0" borderId="86" xfId="0" applyNumberFormat="1" applyFont="1" applyBorder="1" applyAlignment="1" applyProtection="1">
      <alignment horizontal="center"/>
    </xf>
    <xf numFmtId="165" fontId="16" fillId="0" borderId="73" xfId="0" applyNumberFormat="1" applyFont="1" applyBorder="1" applyAlignment="1" applyProtection="1">
      <alignment horizontal="center"/>
    </xf>
    <xf numFmtId="165" fontId="15" fillId="12" borderId="70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22" fillId="12" borderId="89" xfId="0" applyFont="1" applyFill="1" applyBorder="1" applyAlignment="1" applyProtection="1">
      <alignment horizontal="center"/>
    </xf>
    <xf numFmtId="0" fontId="22" fillId="12" borderId="90" xfId="0" applyFont="1" applyFill="1" applyBorder="1" applyAlignment="1" applyProtection="1">
      <alignment horizontal="center"/>
    </xf>
    <xf numFmtId="165" fontId="22" fillId="12" borderId="91" xfId="0" applyNumberFormat="1" applyFont="1" applyFill="1" applyBorder="1" applyAlignment="1" applyProtection="1">
      <alignment horizontal="center"/>
    </xf>
    <xf numFmtId="0" fontId="4" fillId="2" borderId="121" xfId="0" applyFont="1" applyFill="1" applyBorder="1" applyAlignment="1" applyProtection="1">
      <alignment horizontal="center"/>
    </xf>
    <xf numFmtId="0" fontId="14" fillId="0" borderId="76" xfId="0" applyFont="1" applyBorder="1" applyAlignment="1" applyProtection="1"/>
    <xf numFmtId="165" fontId="5" fillId="0" borderId="80" xfId="2" applyNumberFormat="1" applyFont="1" applyBorder="1" applyAlignment="1" applyProtection="1"/>
    <xf numFmtId="0" fontId="4" fillId="0" borderId="82" xfId="0" applyFont="1" applyBorder="1" applyAlignment="1" applyProtection="1">
      <alignment horizontal="center"/>
    </xf>
    <xf numFmtId="0" fontId="4" fillId="0" borderId="83" xfId="0" applyFont="1" applyBorder="1" applyAlignment="1" applyProtection="1">
      <alignment horizontal="center"/>
    </xf>
    <xf numFmtId="0" fontId="14" fillId="0" borderId="78" xfId="0" applyFont="1" applyBorder="1" applyAlignment="1" applyProtection="1">
      <alignment horizontal="center"/>
    </xf>
    <xf numFmtId="0" fontId="14" fillId="0" borderId="83" xfId="0" applyFont="1" applyBorder="1" applyAlignment="1" applyProtection="1">
      <alignment horizontal="center"/>
    </xf>
    <xf numFmtId="0" fontId="14" fillId="0" borderId="83" xfId="0" applyFont="1" applyBorder="1" applyAlignment="1" applyProtection="1">
      <alignment horizontal="center"/>
    </xf>
    <xf numFmtId="0" fontId="5" fillId="9" borderId="80" xfId="0" applyFont="1" applyFill="1" applyBorder="1" applyAlignment="1" applyProtection="1">
      <alignment horizontal="center"/>
      <protection locked="0"/>
    </xf>
    <xf numFmtId="0" fontId="5" fillId="9" borderId="84" xfId="0" applyFont="1" applyFill="1" applyBorder="1" applyAlignment="1" applyProtection="1">
      <alignment horizontal="center"/>
      <protection locked="0"/>
    </xf>
    <xf numFmtId="2" fontId="5" fillId="9" borderId="84" xfId="0" applyNumberFormat="1" applyFont="1" applyFill="1" applyBorder="1" applyAlignment="1" applyProtection="1">
      <alignment horizontal="center"/>
      <protection locked="0"/>
    </xf>
    <xf numFmtId="2" fontId="5" fillId="9" borderId="81" xfId="0" applyNumberFormat="1" applyFont="1" applyFill="1" applyBorder="1" applyAlignment="1" applyProtection="1">
      <alignment horizontal="center"/>
      <protection locked="0"/>
    </xf>
    <xf numFmtId="165" fontId="5" fillId="9" borderId="80" xfId="2" applyNumberFormat="1" applyFont="1" applyFill="1" applyBorder="1" applyAlignment="1" applyProtection="1">
      <alignment horizontal="center"/>
      <protection locked="0"/>
    </xf>
    <xf numFmtId="0" fontId="0" fillId="0" borderId="147" xfId="0" applyBorder="1" applyAlignment="1" applyProtection="1">
      <alignment horizontal="center" wrapText="1"/>
    </xf>
    <xf numFmtId="0" fontId="12" fillId="13" borderId="92" xfId="0" applyFont="1" applyFill="1" applyBorder="1" applyAlignment="1" applyProtection="1">
      <alignment horizontal="center"/>
    </xf>
    <xf numFmtId="0" fontId="12" fillId="13" borderId="93" xfId="0" applyFont="1" applyFill="1" applyBorder="1" applyAlignment="1" applyProtection="1">
      <alignment horizontal="center"/>
    </xf>
    <xf numFmtId="0" fontId="12" fillId="13" borderId="94" xfId="0" applyFont="1" applyFill="1" applyBorder="1" applyAlignment="1" applyProtection="1">
      <alignment horizontal="center"/>
    </xf>
    <xf numFmtId="0" fontId="4" fillId="0" borderId="141" xfId="0" applyFont="1" applyBorder="1" applyAlignment="1" applyProtection="1">
      <alignment horizontal="center"/>
    </xf>
    <xf numFmtId="0" fontId="4" fillId="0" borderId="142" xfId="0" applyFont="1" applyBorder="1" applyAlignment="1" applyProtection="1">
      <alignment horizontal="center"/>
    </xf>
    <xf numFmtId="0" fontId="4" fillId="0" borderId="143" xfId="0" applyFont="1" applyBorder="1" applyAlignment="1" applyProtection="1">
      <alignment horizontal="center"/>
    </xf>
    <xf numFmtId="0" fontId="4" fillId="0" borderId="144" xfId="0" applyFont="1" applyBorder="1" applyAlignment="1" applyProtection="1">
      <alignment horizontal="center"/>
    </xf>
    <xf numFmtId="0" fontId="4" fillId="0" borderId="145" xfId="0" applyFont="1" applyBorder="1" applyAlignment="1" applyProtection="1">
      <alignment horizontal="center"/>
    </xf>
    <xf numFmtId="0" fontId="4" fillId="0" borderId="146" xfId="0" applyFont="1" applyBorder="1" applyAlignment="1" applyProtection="1">
      <alignment horizontal="center"/>
    </xf>
    <xf numFmtId="0" fontId="14" fillId="0" borderId="95" xfId="0" applyFont="1" applyBorder="1" applyAlignment="1" applyProtection="1">
      <alignment horizontal="center"/>
    </xf>
    <xf numFmtId="0" fontId="14" fillId="0" borderId="96" xfId="0" applyFont="1" applyBorder="1" applyAlignment="1" applyProtection="1">
      <alignment horizontal="center"/>
    </xf>
    <xf numFmtId="0" fontId="14" fillId="0" borderId="96" xfId="0" applyFont="1" applyBorder="1" applyAlignment="1" applyProtection="1">
      <alignment horizontal="center"/>
    </xf>
    <xf numFmtId="0" fontId="14" fillId="0" borderId="97" xfId="0" applyFont="1" applyBorder="1" applyAlignment="1" applyProtection="1">
      <alignment horizontal="center"/>
    </xf>
    <xf numFmtId="14" fontId="0" fillId="0" borderId="0" xfId="0" applyNumberFormat="1" applyProtection="1"/>
    <xf numFmtId="0" fontId="14" fillId="0" borderId="98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01" xfId="0" applyFont="1" applyFill="1" applyBorder="1" applyAlignment="1" applyProtection="1">
      <alignment horizontal="center"/>
    </xf>
    <xf numFmtId="0" fontId="4" fillId="0" borderId="138" xfId="0" applyFont="1" applyBorder="1" applyAlignment="1" applyProtection="1">
      <alignment horizontal="center"/>
    </xf>
    <xf numFmtId="0" fontId="4" fillId="0" borderId="139" xfId="0" applyFont="1" applyBorder="1" applyAlignment="1" applyProtection="1">
      <alignment horizontal="center"/>
    </xf>
    <xf numFmtId="0" fontId="4" fillId="0" borderId="140" xfId="0" applyFont="1" applyBorder="1" applyAlignment="1" applyProtection="1">
      <alignment horizontal="center"/>
    </xf>
    <xf numFmtId="0" fontId="10" fillId="14" borderId="139" xfId="0" applyFont="1" applyFill="1" applyBorder="1" applyAlignment="1" applyProtection="1">
      <alignment horizontal="center"/>
    </xf>
    <xf numFmtId="14" fontId="5" fillId="0" borderId="6" xfId="0" applyNumberFormat="1" applyFont="1" applyBorder="1" applyAlignment="1" applyProtection="1">
      <alignment horizontal="center"/>
    </xf>
    <xf numFmtId="17" fontId="5" fillId="0" borderId="98" xfId="0" applyNumberFormat="1" applyFont="1" applyBorder="1" applyAlignment="1" applyProtection="1">
      <alignment horizontal="center"/>
    </xf>
    <xf numFmtId="3" fontId="5" fillId="0" borderId="99" xfId="0" applyNumberFormat="1" applyFont="1" applyBorder="1" applyAlignment="1" applyProtection="1">
      <alignment horizontal="center"/>
    </xf>
    <xf numFmtId="165" fontId="5" fillId="0" borderId="99" xfId="0" applyNumberFormat="1" applyFont="1" applyBorder="1" applyAlignment="1" applyProtection="1">
      <alignment horizontal="center"/>
    </xf>
    <xf numFmtId="165" fontId="5" fillId="0" borderId="123" xfId="0" applyNumberFormat="1" applyFont="1" applyBorder="1" applyAlignment="1" applyProtection="1">
      <alignment horizontal="center"/>
    </xf>
    <xf numFmtId="0" fontId="5" fillId="0" borderId="99" xfId="0" applyFont="1" applyBorder="1" applyProtection="1"/>
    <xf numFmtId="2" fontId="4" fillId="2" borderId="7" xfId="0" applyNumberFormat="1" applyFont="1" applyFill="1" applyBorder="1" applyAlignment="1" applyProtection="1"/>
    <xf numFmtId="0" fontId="4" fillId="2" borderId="9" xfId="0" applyFont="1" applyFill="1" applyBorder="1" applyAlignment="1" applyProtection="1"/>
    <xf numFmtId="17" fontId="5" fillId="0" borderId="101" xfId="0" applyNumberFormat="1" applyFont="1" applyBorder="1" applyAlignment="1" applyProtection="1">
      <alignment horizontal="center"/>
    </xf>
    <xf numFmtId="3" fontId="5" fillId="0" borderId="102" xfId="0" applyNumberFormat="1" applyFont="1" applyBorder="1" applyAlignment="1" applyProtection="1">
      <alignment horizontal="center"/>
    </xf>
    <xf numFmtId="0" fontId="16" fillId="0" borderId="104" xfId="0" applyFont="1" applyBorder="1" applyAlignment="1" applyProtection="1">
      <alignment horizontal="left"/>
    </xf>
    <xf numFmtId="0" fontId="16" fillId="0" borderId="105" xfId="0" applyFont="1" applyBorder="1" applyAlignment="1" applyProtection="1">
      <alignment horizontal="left"/>
    </xf>
    <xf numFmtId="165" fontId="16" fillId="0" borderId="105" xfId="0" applyNumberFormat="1" applyFont="1" applyBorder="1" applyAlignment="1" applyProtection="1">
      <alignment horizontal="center"/>
    </xf>
    <xf numFmtId="165" fontId="16" fillId="0" borderId="106" xfId="0" applyNumberFormat="1" applyFont="1" applyBorder="1" applyAlignment="1" applyProtection="1">
      <alignment horizontal="center"/>
    </xf>
    <xf numFmtId="0" fontId="19" fillId="0" borderId="124" xfId="0" applyFont="1" applyBorder="1" applyProtection="1"/>
    <xf numFmtId="0" fontId="19" fillId="0" borderId="0" xfId="0" applyFont="1" applyProtection="1"/>
    <xf numFmtId="0" fontId="21" fillId="13" borderId="92" xfId="0" applyFont="1" applyFill="1" applyBorder="1" applyProtection="1"/>
    <xf numFmtId="0" fontId="21" fillId="13" borderId="93" xfId="0" applyFont="1" applyFill="1" applyBorder="1" applyProtection="1"/>
    <xf numFmtId="0" fontId="15" fillId="13" borderId="93" xfId="0" applyFont="1" applyFill="1" applyBorder="1" applyAlignment="1" applyProtection="1"/>
    <xf numFmtId="0" fontId="15" fillId="13" borderId="93" xfId="0" applyFont="1" applyFill="1" applyBorder="1" applyAlignment="1" applyProtection="1">
      <alignment horizontal="center"/>
    </xf>
    <xf numFmtId="165" fontId="15" fillId="13" borderId="0" xfId="0" applyNumberFormat="1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2" fillId="13" borderId="0" xfId="0" applyFont="1" applyFill="1" applyBorder="1" applyAlignment="1" applyProtection="1">
      <alignment horizontal="center"/>
    </xf>
    <xf numFmtId="0" fontId="4" fillId="0" borderId="95" xfId="0" applyFont="1" applyBorder="1" applyAlignment="1" applyProtection="1">
      <alignment horizontal="center"/>
    </xf>
    <xf numFmtId="0" fontId="4" fillId="0" borderId="96" xfId="0" applyFont="1" applyBorder="1" applyAlignment="1" applyProtection="1">
      <alignment horizontal="center"/>
    </xf>
    <xf numFmtId="0" fontId="4" fillId="0" borderId="97" xfId="0" applyFont="1" applyBorder="1" applyAlignment="1" applyProtection="1">
      <alignment horizontal="center"/>
    </xf>
    <xf numFmtId="0" fontId="14" fillId="0" borderId="98" xfId="0" applyFont="1" applyBorder="1" applyAlignment="1" applyProtection="1">
      <alignment horizontal="center"/>
    </xf>
    <xf numFmtId="0" fontId="14" fillId="0" borderId="99" xfId="0" applyFont="1" applyBorder="1" applyAlignment="1" applyProtection="1">
      <alignment horizontal="center"/>
    </xf>
    <xf numFmtId="0" fontId="14" fillId="0" borderId="100" xfId="0" applyFont="1" applyBorder="1" applyAlignment="1" applyProtection="1">
      <alignment horizontal="center"/>
    </xf>
    <xf numFmtId="0" fontId="10" fillId="14" borderId="148" xfId="0" applyFont="1" applyFill="1" applyBorder="1" applyAlignment="1" applyProtection="1"/>
    <xf numFmtId="165" fontId="5" fillId="0" borderId="148" xfId="0" applyNumberFormat="1" applyFont="1" applyBorder="1" applyAlignment="1" applyProtection="1">
      <alignment horizontal="left"/>
    </xf>
    <xf numFmtId="165" fontId="5" fillId="13" borderId="0" xfId="0" applyNumberFormat="1" applyFont="1" applyFill="1" applyBorder="1" applyAlignment="1" applyProtection="1"/>
    <xf numFmtId="165" fontId="5" fillId="0" borderId="0" xfId="0" applyNumberFormat="1" applyFont="1" applyBorder="1" applyAlignment="1" applyProtection="1">
      <alignment horizontal="center"/>
    </xf>
    <xf numFmtId="0" fontId="16" fillId="0" borderId="92" xfId="0" applyFont="1" applyBorder="1" applyAlignment="1" applyProtection="1">
      <alignment horizontal="left"/>
    </xf>
    <xf numFmtId="0" fontId="16" fillId="0" borderId="107" xfId="0" applyFont="1" applyBorder="1" applyAlignment="1" applyProtection="1">
      <alignment horizontal="left"/>
    </xf>
    <xf numFmtId="0" fontId="19" fillId="0" borderId="148" xfId="0" applyFont="1" applyBorder="1" applyAlignment="1" applyProtection="1"/>
    <xf numFmtId="0" fontId="19" fillId="13" borderId="0" xfId="0" applyFont="1" applyFill="1" applyBorder="1" applyAlignment="1" applyProtection="1"/>
    <xf numFmtId="165" fontId="16" fillId="0" borderId="0" xfId="0" applyNumberFormat="1" applyFont="1" applyBorder="1" applyAlignment="1" applyProtection="1">
      <alignment horizontal="center"/>
    </xf>
    <xf numFmtId="0" fontId="25" fillId="13" borderId="92" xfId="0" applyFont="1" applyFill="1" applyBorder="1" applyProtection="1"/>
    <xf numFmtId="0" fontId="24" fillId="13" borderId="93" xfId="0" applyFont="1" applyFill="1" applyBorder="1" applyProtection="1"/>
    <xf numFmtId="165" fontId="15" fillId="13" borderId="94" xfId="0" applyNumberFormat="1" applyFont="1" applyFill="1" applyBorder="1" applyAlignment="1" applyProtection="1">
      <alignment horizontal="center"/>
    </xf>
    <xf numFmtId="0" fontId="21" fillId="13" borderId="0" xfId="0" applyFont="1" applyFill="1" applyProtection="1"/>
  </cellXfs>
  <cellStyles count="3">
    <cellStyle name="Moeda" xfId="2" builtinId="4"/>
    <cellStyle name="Normal" xfId="0" builtinId="0"/>
    <cellStyle name="Porcentagem" xfId="1" builtinId="5"/>
  </cellStyles>
  <dxfs count="47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AB3A7"/>
        </left>
        <right style="medium">
          <color rgb="FF7AB3A7"/>
        </right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medium">
          <color rgb="FF7AB3A7"/>
        </left>
        <right style="thin">
          <color rgb="FF7AB3A7"/>
        </right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7AB3A7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7AB3A7"/>
        </left>
        <right/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border diagonalUp="0" diagonalDown="0">
        <left style="thin">
          <color rgb="FF7AB3A7"/>
        </left>
        <right style="thin">
          <color rgb="FF7AB3A7"/>
        </right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border diagonalUp="0" diagonalDown="0">
        <left style="thin">
          <color rgb="FF7AB3A7"/>
        </left>
        <right style="thin">
          <color rgb="FF7AB3A7"/>
        </right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rgb="FF7AB3A7"/>
        </left>
        <right style="thin">
          <color rgb="FF7AB3A7"/>
        </right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rgb="FF7AB3A7"/>
        </right>
        <top style="thin">
          <color rgb="FF7AB3A7"/>
        </top>
        <bottom style="thin">
          <color rgb="FF7AB3A7"/>
        </bottom>
        <vertical style="thin">
          <color rgb="FF7AB3A7"/>
        </vertical>
        <horizontal style="thin">
          <color rgb="FF7AB3A7"/>
        </horizontal>
      </border>
    </dxf>
    <dxf>
      <border>
        <top style="thin">
          <color rgb="FF7AB3A7"/>
        </top>
      </border>
    </dxf>
    <dxf>
      <border diagonalUp="0" diagonalDown="0">
        <left style="medium">
          <color rgb="FF7AB3A7"/>
        </left>
        <right style="medium">
          <color rgb="FF7AB3A7"/>
        </right>
        <top style="medium">
          <color rgb="FF7AB3A7"/>
        </top>
        <bottom style="medium">
          <color rgb="FF7AB3A7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>
        <bottom style="thin">
          <color rgb="FF7AB3A7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7AB3A7"/>
        </patternFill>
      </fill>
      <border diagonalUp="0" diagonalDown="0">
        <left style="thin">
          <color rgb="FF7AB3A7"/>
        </left>
        <right style="thin">
          <color rgb="FF7AB3A7"/>
        </right>
        <top/>
        <bottom/>
        <vertical style="thin">
          <color rgb="FF7AB3A7"/>
        </vertical>
        <horizontal style="thin">
          <color rgb="FF7AB3A7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B7C5"/>
        </left>
        <right/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7C5"/>
        </patternFill>
      </fill>
      <border diagonalUp="0" diagonalDown="0">
        <left style="thin">
          <color rgb="FF00B7C5"/>
        </left>
        <right style="thin">
          <color rgb="FF00B7C5"/>
        </right>
        <top/>
        <bottom/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00B7C5"/>
        </left>
        <right style="medium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border diagonalUp="0" diagonalDown="0">
        <left style="thin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border diagonalUp="0" diagonalDown="0">
        <left style="thin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/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7C5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B7C5"/>
        </left>
        <right style="medium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medium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7C5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00B7C5"/>
        </left>
        <right/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border diagonalUp="0" diagonalDown="0">
        <left style="thin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border diagonalUp="0" diagonalDown="0">
        <left style="thin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rgb="FF00B7C5"/>
        </left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rgb="FF00B7C5"/>
        </right>
        <top style="thin">
          <color rgb="FF00B7C5"/>
        </top>
        <bottom style="thin">
          <color rgb="FF00B7C5"/>
        </bottom>
        <vertical style="thin">
          <color rgb="FF00B7C5"/>
        </vertical>
        <horizontal style="thin">
          <color rgb="FF00B7C5"/>
        </horizontal>
      </border>
    </dxf>
    <dxf>
      <border>
        <top style="thin">
          <color rgb="FF00B7C5"/>
        </top>
      </border>
    </dxf>
    <dxf>
      <border diagonalUp="0" diagonalDown="0">
        <left style="medium">
          <color rgb="FF00B7C5"/>
        </left>
        <right style="medium">
          <color rgb="FF00B7C5"/>
        </right>
        <top style="medium">
          <color rgb="FF00B7C5"/>
        </top>
        <bottom style="medium">
          <color rgb="FF00B7C5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>
        <bottom style="thin">
          <color rgb="FF00B7C5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7C5"/>
        </patternFill>
      </fill>
      <border diagonalUp="0" diagonalDown="0">
        <left style="thin">
          <color rgb="FF00B7C5"/>
        </left>
        <right style="thin">
          <color rgb="FF00B7C5"/>
        </right>
        <top/>
        <bottom/>
        <vertical style="thin">
          <color rgb="FF00B7C5"/>
        </vertical>
        <horizontal style="thin">
          <color rgb="FF00B7C5"/>
        </horizontal>
      </border>
    </dxf>
  </dxfs>
  <tableStyles count="0" defaultTableStyle="TableStyleMedium2" defaultPivotStyle="PivotStyleLight16"/>
  <colors>
    <mruColors>
      <color rgb="FF7AB3A7"/>
      <color rgb="FF00B7C5"/>
      <color rgb="FFCCAE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H33" fmlaRange="Apoio!$B$4:$F$7" noThreeD="1" sel="1" val="0"/>
</file>

<file path=xl/ctrlProps/ctrlProp10.xml><?xml version="1.0" encoding="utf-8"?>
<formControlPr xmlns="http://schemas.microsoft.com/office/spreadsheetml/2009/9/main" objectType="Drop" dropLines="4" dropStyle="combo" dx="16" fmlaLink="H43" fmlaRange="Apoio!$B$4:$F$7" noThreeD="1" sel="1" val="0"/>
</file>

<file path=xl/ctrlProps/ctrlProp11.xml><?xml version="1.0" encoding="utf-8"?>
<formControlPr xmlns="http://schemas.microsoft.com/office/spreadsheetml/2009/9/main" objectType="Drop" dropLines="4" dropStyle="combo" dx="16" fmlaLink="H44" fmlaRange="Apoio!$B$4:$F$7" noThreeD="1" sel="1" val="0"/>
</file>

<file path=xl/ctrlProps/ctrlProp12.xml><?xml version="1.0" encoding="utf-8"?>
<formControlPr xmlns="http://schemas.microsoft.com/office/spreadsheetml/2009/9/main" objectType="Drop" dropLines="4" dropStyle="combo" dx="16" fmlaLink="H39" fmlaRange="Apoio!$B$4:$F$7" noThreeD="1" sel="1" val="0"/>
</file>

<file path=xl/ctrlProps/ctrlProp13.xml><?xml version="1.0" encoding="utf-8"?>
<formControlPr xmlns="http://schemas.microsoft.com/office/spreadsheetml/2009/9/main" objectType="Drop" dropLines="4" dropStyle="combo" dx="16" fmlaLink="$H$32" fmlaRange="Apoio!$B$4:$F$7" noThreeD="1" sel="1" val="0"/>
</file>

<file path=xl/ctrlProps/ctrlProp14.xml><?xml version="1.0" encoding="utf-8"?>
<formControlPr xmlns="http://schemas.microsoft.com/office/spreadsheetml/2009/9/main" objectType="Drop" dropLines="4" dropStyle="combo" dx="16" fmlaLink="$H$33" fmlaRange="Apoio!$B$4:$F$7" noThreeD="1" sel="1" val="0"/>
</file>

<file path=xl/ctrlProps/ctrlProp15.xml><?xml version="1.0" encoding="utf-8"?>
<formControlPr xmlns="http://schemas.microsoft.com/office/spreadsheetml/2009/9/main" objectType="Drop" dropLines="4" dropStyle="combo" dx="16" fmlaLink="$H$34" fmlaRange="Apoio!$B$4:$F$7" noThreeD="1" sel="1" val="0"/>
</file>

<file path=xl/ctrlProps/ctrlProp16.xml><?xml version="1.0" encoding="utf-8"?>
<formControlPr xmlns="http://schemas.microsoft.com/office/spreadsheetml/2009/9/main" objectType="Drop" dropLines="4" dropStyle="combo" dx="16" fmlaLink="$H$35" fmlaRange="Apoio!$B$4:$F$7" noThreeD="1" sel="1" val="0"/>
</file>

<file path=xl/ctrlProps/ctrlProp17.xml><?xml version="1.0" encoding="utf-8"?>
<formControlPr xmlns="http://schemas.microsoft.com/office/spreadsheetml/2009/9/main" objectType="Drop" dropLines="4" dropStyle="combo" dx="16" fmlaLink="$H$36" fmlaRange="Apoio!$B$4:$F$7" noThreeD="1" sel="1" val="0"/>
</file>

<file path=xl/ctrlProps/ctrlProp18.xml><?xml version="1.0" encoding="utf-8"?>
<formControlPr xmlns="http://schemas.microsoft.com/office/spreadsheetml/2009/9/main" objectType="Drop" dropLines="4" dropStyle="combo" dx="16" fmlaLink="$H$37" fmlaRange="Apoio!$B$4:$F$7" noThreeD="1" sel="1" val="0"/>
</file>

<file path=xl/ctrlProps/ctrlProp19.xml><?xml version="1.0" encoding="utf-8"?>
<formControlPr xmlns="http://schemas.microsoft.com/office/spreadsheetml/2009/9/main" objectType="Drop" dropLines="4" dropStyle="combo" dx="16" fmlaLink="$H$38" fmlaRange="Apoio!$B$4:$F$7" noThreeD="1" sel="1" val="0"/>
</file>

<file path=xl/ctrlProps/ctrlProp2.xml><?xml version="1.0" encoding="utf-8"?>
<formControlPr xmlns="http://schemas.microsoft.com/office/spreadsheetml/2009/9/main" objectType="Drop" dropLines="4" dropStyle="combo" dx="16" fmlaLink="H34" fmlaRange="Apoio!$B$4:$F$7" noThreeD="1" sel="1" val="0"/>
</file>

<file path=xl/ctrlProps/ctrlProp20.xml><?xml version="1.0" encoding="utf-8"?>
<formControlPr xmlns="http://schemas.microsoft.com/office/spreadsheetml/2009/9/main" objectType="Drop" dropLines="4" dropStyle="combo" dx="16" fmlaLink="$H$39" fmlaRange="Apoio!$B$4:$F$7" noThreeD="1" sel="1" val="0"/>
</file>

<file path=xl/ctrlProps/ctrlProp21.xml><?xml version="1.0" encoding="utf-8"?>
<formControlPr xmlns="http://schemas.microsoft.com/office/spreadsheetml/2009/9/main" objectType="Drop" dropLines="4" dropStyle="combo" dx="16" fmlaLink="$H$40" fmlaRange="Apoio!$B$4:$F$7" noThreeD="1" sel="1" val="0"/>
</file>

<file path=xl/ctrlProps/ctrlProp22.xml><?xml version="1.0" encoding="utf-8"?>
<formControlPr xmlns="http://schemas.microsoft.com/office/spreadsheetml/2009/9/main" objectType="Drop" dropLines="4" dropStyle="combo" dx="16" fmlaLink="$H$41" fmlaRange="Apoio!$B$4:$F$7" noThreeD="1" sel="1" val="0"/>
</file>

<file path=xl/ctrlProps/ctrlProp23.xml><?xml version="1.0" encoding="utf-8"?>
<formControlPr xmlns="http://schemas.microsoft.com/office/spreadsheetml/2009/9/main" objectType="Drop" dropLines="4" dropStyle="combo" dx="16" fmlaLink="$H$42" fmlaRange="Apoio!$B$4:$F$7" noThreeD="1" sel="1" val="0"/>
</file>

<file path=xl/ctrlProps/ctrlProp24.xml><?xml version="1.0" encoding="utf-8"?>
<formControlPr xmlns="http://schemas.microsoft.com/office/spreadsheetml/2009/9/main" objectType="Drop" dropLines="4" dropStyle="combo" dx="16" fmlaLink="$H$43" fmlaRange="Apoio!$B$4:$F$7" noThreeD="1" sel="1" val="0"/>
</file>

<file path=xl/ctrlProps/ctrlProp25.xml><?xml version="1.0" encoding="utf-8"?>
<formControlPr xmlns="http://schemas.microsoft.com/office/spreadsheetml/2009/9/main" objectType="Drop" dropLines="4" dropStyle="combo" dx="16" fmlaLink="$E$32" fmlaRange="Apoio!$B$4:$F$7" noThreeD="1" sel="1" val="0"/>
</file>

<file path=xl/ctrlProps/ctrlProp26.xml><?xml version="1.0" encoding="utf-8"?>
<formControlPr xmlns="http://schemas.microsoft.com/office/spreadsheetml/2009/9/main" objectType="Drop" dropLines="3" dropStyle="combo" dx="16" fmlaLink="$E$35" fmlaRange="Apoio!$B$4:$F$6" noThreeD="1" sel="1" val="0"/>
</file>

<file path=xl/ctrlProps/ctrlProp27.xml><?xml version="1.0" encoding="utf-8"?>
<formControlPr xmlns="http://schemas.microsoft.com/office/spreadsheetml/2009/9/main" objectType="Drop" dropLines="3" dropStyle="combo" dx="16" fmlaLink="$E$36" fmlaRange="Apoio!$B$4:$F$6" noThreeD="1" sel="1" val="0"/>
</file>

<file path=xl/ctrlProps/ctrlProp28.xml><?xml version="1.0" encoding="utf-8"?>
<formControlPr xmlns="http://schemas.microsoft.com/office/spreadsheetml/2009/9/main" objectType="Drop" dropLines="3" dropStyle="combo" dx="16" fmlaLink="$E$37" fmlaRange="Apoio!$B$4:$F$6" noThreeD="1" sel="1" val="0"/>
</file>

<file path=xl/ctrlProps/ctrlProp29.xml><?xml version="1.0" encoding="utf-8"?>
<formControlPr xmlns="http://schemas.microsoft.com/office/spreadsheetml/2009/9/main" objectType="Drop" dropLines="4" dropStyle="combo" dx="16" fmlaLink="$E$35" fmlaRange="Apoio!$B$4:$F$7" noThreeD="1" sel="1" val="0"/>
</file>

<file path=xl/ctrlProps/ctrlProp3.xml><?xml version="1.0" encoding="utf-8"?>
<formControlPr xmlns="http://schemas.microsoft.com/office/spreadsheetml/2009/9/main" objectType="Drop" dropLines="4" dropStyle="combo" dx="16" fmlaLink="H35" fmlaRange="Apoio!$B$4:$F$7" noThreeD="1" sel="1" val="0"/>
</file>

<file path=xl/ctrlProps/ctrlProp30.xml><?xml version="1.0" encoding="utf-8"?>
<formControlPr xmlns="http://schemas.microsoft.com/office/spreadsheetml/2009/9/main" objectType="Drop" dropLines="4" dropStyle="combo" dx="16" fmlaLink="$E$36" fmlaRange="Apoio!$B$4:$F$7" noThreeD="1" sel="1" val="0"/>
</file>

<file path=xl/ctrlProps/ctrlProp31.xml><?xml version="1.0" encoding="utf-8"?>
<formControlPr xmlns="http://schemas.microsoft.com/office/spreadsheetml/2009/9/main" objectType="Drop" dropLines="4" dropStyle="combo" dx="16" fmlaLink="$E$37" fmlaRange="Apoio!$B$4:$F$7" noThreeD="1" sel="1" val="0"/>
</file>

<file path=xl/ctrlProps/ctrlProp32.xml><?xml version="1.0" encoding="utf-8"?>
<formControlPr xmlns="http://schemas.microsoft.com/office/spreadsheetml/2009/9/main" objectType="Drop" dropLines="4" dropStyle="combo" dx="16" fmlaLink="$E$38" fmlaRange="Apoio!$B$4:$F$7" noThreeD="1" sel="1" val="0"/>
</file>

<file path=xl/ctrlProps/ctrlProp33.xml><?xml version="1.0" encoding="utf-8"?>
<formControlPr xmlns="http://schemas.microsoft.com/office/spreadsheetml/2009/9/main" objectType="Drop" dropLines="4" dropStyle="combo" dx="16" fmlaLink="$E$39" fmlaRange="Apoio!$B$4:$F$7" noThreeD="1" sel="1" val="0"/>
</file>

<file path=xl/ctrlProps/ctrlProp34.xml><?xml version="1.0" encoding="utf-8"?>
<formControlPr xmlns="http://schemas.microsoft.com/office/spreadsheetml/2009/9/main" objectType="Drop" dropLines="4" dropStyle="combo" dx="16" fmlaLink="$E$40" fmlaRange="Apoio!$B$4:$F$7" noThreeD="1" sel="1" val="0"/>
</file>

<file path=xl/ctrlProps/ctrlProp35.xml><?xml version="1.0" encoding="utf-8"?>
<formControlPr xmlns="http://schemas.microsoft.com/office/spreadsheetml/2009/9/main" objectType="Drop" dropLines="4" dropStyle="combo" dx="16" fmlaLink="$E$41" fmlaRange="Apoio!$B$4:$F$7" noThreeD="1" sel="1" val="0"/>
</file>

<file path=xl/ctrlProps/ctrlProp36.xml><?xml version="1.0" encoding="utf-8"?>
<formControlPr xmlns="http://schemas.microsoft.com/office/spreadsheetml/2009/9/main" objectType="Drop" dropLines="4" dropStyle="combo" dx="16" fmlaLink="$E$42" fmlaRange="Apoio!$B$4:$F$7" noThreeD="1" sel="1" val="0"/>
</file>

<file path=xl/ctrlProps/ctrlProp37.xml><?xml version="1.0" encoding="utf-8"?>
<formControlPr xmlns="http://schemas.microsoft.com/office/spreadsheetml/2009/9/main" objectType="Drop" dropLines="4" dropStyle="combo" dx="16" fmlaLink="$E$31" fmlaRange="Apoio!$B$4:$F$7" noThreeD="1" sel="1" val="0"/>
</file>

<file path=xl/ctrlProps/ctrlProp38.xml><?xml version="1.0" encoding="utf-8"?>
<formControlPr xmlns="http://schemas.microsoft.com/office/spreadsheetml/2009/9/main" objectType="Drop" dropLines="4" dropStyle="combo" dx="16" fmlaLink="$E$34" fmlaRange="Apoio!$B$4:$F$7" noThreeD="1" sel="1" val="0"/>
</file>

<file path=xl/ctrlProps/ctrlProp39.xml><?xml version="1.0" encoding="utf-8"?>
<formControlPr xmlns="http://schemas.microsoft.com/office/spreadsheetml/2009/9/main" objectType="Drop" dropLines="4" dropStyle="combo" dx="16" fmlaLink="$E$33" fmlaRange="Apoio!$B$4:$F$7" noThreeD="1" sel="1" val="0"/>
</file>

<file path=xl/ctrlProps/ctrlProp4.xml><?xml version="1.0" encoding="utf-8"?>
<formControlPr xmlns="http://schemas.microsoft.com/office/spreadsheetml/2009/9/main" objectType="Drop" dropLines="4" dropStyle="combo" dx="16" fmlaLink="H36" fmlaRange="Apoio!$B$4:$F$7" noThreeD="1" sel="1" val="0"/>
</file>

<file path=xl/ctrlProps/ctrlProp40.xml><?xml version="1.0" encoding="utf-8"?>
<formControlPr xmlns="http://schemas.microsoft.com/office/spreadsheetml/2009/9/main" objectType="Drop" dropLines="4" dropStyle="combo" dx="16" fmlaLink="$E$32" fmlaRange="Apoio!$B$4:$F$7" noThreeD="1" sel="1" val="0"/>
</file>

<file path=xl/ctrlProps/ctrlProp41.xml><?xml version="1.0" encoding="utf-8"?>
<formControlPr xmlns="http://schemas.microsoft.com/office/spreadsheetml/2009/9/main" objectType="Drop" dropLines="4" dropStyle="combo" dx="16" fmlaLink="$E$33" fmlaRange="Apoio!$B$4:$F$7" noThreeD="1" sel="1" val="0"/>
</file>

<file path=xl/ctrlProps/ctrlProp42.xml><?xml version="1.0" encoding="utf-8"?>
<formControlPr xmlns="http://schemas.microsoft.com/office/spreadsheetml/2009/9/main" objectType="Drop" dropLines="4" dropStyle="combo" dx="16" fmlaLink="$E$34" fmlaRange="Apoio!$B$4:$F$7" noThreeD="1" sel="1" val="0"/>
</file>

<file path=xl/ctrlProps/ctrlProp43.xml><?xml version="1.0" encoding="utf-8"?>
<formControlPr xmlns="http://schemas.microsoft.com/office/spreadsheetml/2009/9/main" objectType="Drop" dropLines="4" dropStyle="combo" dx="16" fmlaLink="$E$35" fmlaRange="Apoio!$B$4:$F$7" noThreeD="1" sel="1" val="0"/>
</file>

<file path=xl/ctrlProps/ctrlProp44.xml><?xml version="1.0" encoding="utf-8"?>
<formControlPr xmlns="http://schemas.microsoft.com/office/spreadsheetml/2009/9/main" objectType="Drop" dropLines="4" dropStyle="combo" dx="16" fmlaLink="$E$36" fmlaRange="Apoio!$B$4:$F$7" noThreeD="1" sel="1" val="0"/>
</file>

<file path=xl/ctrlProps/ctrlProp45.xml><?xml version="1.0" encoding="utf-8"?>
<formControlPr xmlns="http://schemas.microsoft.com/office/spreadsheetml/2009/9/main" objectType="Drop" dropLines="4" dropStyle="combo" dx="16" fmlaLink="$E$37" fmlaRange="Apoio!$B$4:$F$7" noThreeD="1" sel="1" val="0"/>
</file>

<file path=xl/ctrlProps/ctrlProp46.xml><?xml version="1.0" encoding="utf-8"?>
<formControlPr xmlns="http://schemas.microsoft.com/office/spreadsheetml/2009/9/main" objectType="Drop" dropLines="4" dropStyle="combo" dx="16" fmlaLink="$E$38" fmlaRange="Apoio!$B$4:$F$7" noThreeD="1" sel="1" val="0"/>
</file>

<file path=xl/ctrlProps/ctrlProp47.xml><?xml version="1.0" encoding="utf-8"?>
<formControlPr xmlns="http://schemas.microsoft.com/office/spreadsheetml/2009/9/main" objectType="Drop" dropLines="4" dropStyle="combo" dx="16" fmlaLink="$E$319" fmlaRange="Apoio!$B$4:$F$7" noThreeD="1" sel="1" val="0"/>
</file>

<file path=xl/ctrlProps/ctrlProp48.xml><?xml version="1.0" encoding="utf-8"?>
<formControlPr xmlns="http://schemas.microsoft.com/office/spreadsheetml/2009/9/main" objectType="Drop" dropLines="4" dropStyle="combo" dx="16" fmlaLink="$E$40" fmlaRange="Apoio!$B$4:$F$7" noThreeD="1" sel="1" val="0"/>
</file>

<file path=xl/ctrlProps/ctrlProp49.xml><?xml version="1.0" encoding="utf-8"?>
<formControlPr xmlns="http://schemas.microsoft.com/office/spreadsheetml/2009/9/main" objectType="Drop" dropLines="4" dropStyle="combo" dx="16" fmlaLink="$E$41" fmlaRange="Apoio!$B$4:$F$7" noThreeD="1" sel="1" val="0"/>
</file>

<file path=xl/ctrlProps/ctrlProp5.xml><?xml version="1.0" encoding="utf-8"?>
<formControlPr xmlns="http://schemas.microsoft.com/office/spreadsheetml/2009/9/main" objectType="Drop" dropLines="4" dropStyle="combo" dx="16" fmlaLink="H37" fmlaRange="Apoio!$B$4:$F$7" noThreeD="1" sel="1" val="0"/>
</file>

<file path=xl/ctrlProps/ctrlProp50.xml><?xml version="1.0" encoding="utf-8"?>
<formControlPr xmlns="http://schemas.microsoft.com/office/spreadsheetml/2009/9/main" objectType="Drop" dropLines="4" dropStyle="combo" dx="16" fmlaLink="$E$42" fmlaRange="Apoio!$B$4:$F$7" noThreeD="1" sel="1" val="0"/>
</file>

<file path=xl/ctrlProps/ctrlProp51.xml><?xml version="1.0" encoding="utf-8"?>
<formControlPr xmlns="http://schemas.microsoft.com/office/spreadsheetml/2009/9/main" objectType="Drop" dropLines="4" dropStyle="combo" dx="16" fmlaLink="$E$32" fmlaRange="Apoio!$B$4:$F$7" noThreeD="1" sel="1" val="0"/>
</file>

<file path=xl/ctrlProps/ctrlProp52.xml><?xml version="1.0" encoding="utf-8"?>
<formControlPr xmlns="http://schemas.microsoft.com/office/spreadsheetml/2009/9/main" objectType="Drop" dropLines="4" dropStyle="combo" dx="16" fmlaLink="$E$33" fmlaRange="Apoio!$B$4:$F$7" noThreeD="1" sel="1" val="0"/>
</file>

<file path=xl/ctrlProps/ctrlProp53.xml><?xml version="1.0" encoding="utf-8"?>
<formControlPr xmlns="http://schemas.microsoft.com/office/spreadsheetml/2009/9/main" objectType="Drop" dropLines="4" dropStyle="combo" dx="16" fmlaLink="$E$34" fmlaRange="Apoio!$B$4:$F$7" noThreeD="1" sel="1" val="0"/>
</file>

<file path=xl/ctrlProps/ctrlProp54.xml><?xml version="1.0" encoding="utf-8"?>
<formControlPr xmlns="http://schemas.microsoft.com/office/spreadsheetml/2009/9/main" objectType="Drop" dropLines="4" dropStyle="combo" dx="16" fmlaLink="$E$35" fmlaRange="Apoio!$B$4:$F$7" noThreeD="1" sel="1" val="0"/>
</file>

<file path=xl/ctrlProps/ctrlProp55.xml><?xml version="1.0" encoding="utf-8"?>
<formControlPr xmlns="http://schemas.microsoft.com/office/spreadsheetml/2009/9/main" objectType="Drop" dropLines="4" dropStyle="combo" dx="16" fmlaLink="$E$36" fmlaRange="Apoio!$B$4:$F$7" noThreeD="1" sel="1" val="0"/>
</file>

<file path=xl/ctrlProps/ctrlProp56.xml><?xml version="1.0" encoding="utf-8"?>
<formControlPr xmlns="http://schemas.microsoft.com/office/spreadsheetml/2009/9/main" objectType="Drop" dropLines="4" dropStyle="combo" dx="16" fmlaLink="$E$37" fmlaRange="Apoio!$B$4:$F$7" noThreeD="1" sel="1" val="0"/>
</file>

<file path=xl/ctrlProps/ctrlProp57.xml><?xml version="1.0" encoding="utf-8"?>
<formControlPr xmlns="http://schemas.microsoft.com/office/spreadsheetml/2009/9/main" objectType="Drop" dropLines="4" dropStyle="combo" dx="16" fmlaLink="$E$38" fmlaRange="Apoio!$B$4:$F$7" noThreeD="1" sel="1" val="0"/>
</file>

<file path=xl/ctrlProps/ctrlProp58.xml><?xml version="1.0" encoding="utf-8"?>
<formControlPr xmlns="http://schemas.microsoft.com/office/spreadsheetml/2009/9/main" objectType="Drop" dropLines="4" dropStyle="combo" dx="16" fmlaLink="$E$39" fmlaRange="Apoio!$B$4:$F$7" noThreeD="1" sel="1" val="0"/>
</file>

<file path=xl/ctrlProps/ctrlProp59.xml><?xml version="1.0" encoding="utf-8"?>
<formControlPr xmlns="http://schemas.microsoft.com/office/spreadsheetml/2009/9/main" objectType="Drop" dropLines="4" dropStyle="combo" dx="16" fmlaLink="$E$40" fmlaRange="Apoio!$B$4:$F$7" noThreeD="1" sel="1" val="0"/>
</file>

<file path=xl/ctrlProps/ctrlProp6.xml><?xml version="1.0" encoding="utf-8"?>
<formControlPr xmlns="http://schemas.microsoft.com/office/spreadsheetml/2009/9/main" objectType="Drop" dropLines="4" dropStyle="combo" dx="16" fmlaLink="H38" fmlaRange="Apoio!$B$4:$F$7" noThreeD="1" sel="1" val="0"/>
</file>

<file path=xl/ctrlProps/ctrlProp60.xml><?xml version="1.0" encoding="utf-8"?>
<formControlPr xmlns="http://schemas.microsoft.com/office/spreadsheetml/2009/9/main" objectType="Drop" dropLines="4" dropStyle="combo" dx="16" fmlaLink="$E$41" fmlaRange="Apoio!$B$4:$F$7" noThreeD="1" sel="1" val="0"/>
</file>

<file path=xl/ctrlProps/ctrlProp61.xml><?xml version="1.0" encoding="utf-8"?>
<formControlPr xmlns="http://schemas.microsoft.com/office/spreadsheetml/2009/9/main" objectType="Drop" dropLines="4" dropStyle="combo" dx="16" fmlaLink="$E$42" fmlaRange="Apoio!$B$4:$F$7" noThreeD="1" sel="1" val="0"/>
</file>

<file path=xl/ctrlProps/ctrlProp62.xml><?xml version="1.0" encoding="utf-8"?>
<formControlPr xmlns="http://schemas.microsoft.com/office/spreadsheetml/2009/9/main" objectType="Drop" dropLines="4" dropStyle="combo" dx="16" fmlaLink="$D$31" fmlaRange="Apoio!$B$4:$F$7" noThreeD="1" sel="1" val="0"/>
</file>

<file path=xl/ctrlProps/ctrlProp63.xml><?xml version="1.0" encoding="utf-8"?>
<formControlPr xmlns="http://schemas.microsoft.com/office/spreadsheetml/2009/9/main" objectType="Drop" dropLines="4" dropStyle="combo" dx="16" fmlaLink="$D$32" fmlaRange="Apoio!$B$4:$F$7" noThreeD="1" sel="1" val="0"/>
</file>

<file path=xl/ctrlProps/ctrlProp64.xml><?xml version="1.0" encoding="utf-8"?>
<formControlPr xmlns="http://schemas.microsoft.com/office/spreadsheetml/2009/9/main" objectType="Drop" dropLines="4" dropStyle="combo" dx="16" fmlaLink="$D$33" fmlaRange="Apoio!$B$4:$F$7" noThreeD="1" sel="1" val="0"/>
</file>

<file path=xl/ctrlProps/ctrlProp65.xml><?xml version="1.0" encoding="utf-8"?>
<formControlPr xmlns="http://schemas.microsoft.com/office/spreadsheetml/2009/9/main" objectType="Drop" dropLines="4" dropStyle="combo" dx="16" fmlaLink="$D$34" fmlaRange="Apoio!$B$4:$F$7" noThreeD="1" sel="1" val="0"/>
</file>

<file path=xl/ctrlProps/ctrlProp66.xml><?xml version="1.0" encoding="utf-8"?>
<formControlPr xmlns="http://schemas.microsoft.com/office/spreadsheetml/2009/9/main" objectType="Drop" dropLines="3" dropStyle="combo" dx="16" fmlaLink="$D$35" fmlaRange="Apoio!$B$4:$F$6" noThreeD="1" sel="1" val="0"/>
</file>

<file path=xl/ctrlProps/ctrlProp67.xml><?xml version="1.0" encoding="utf-8"?>
<formControlPr xmlns="http://schemas.microsoft.com/office/spreadsheetml/2009/9/main" objectType="Drop" dropLines="4" dropStyle="combo" dx="16" fmlaLink="$D$36" fmlaRange="Apoio!$B$4:$F$7" noThreeD="1" sel="1" val="0"/>
</file>

<file path=xl/ctrlProps/ctrlProp68.xml><?xml version="1.0" encoding="utf-8"?>
<formControlPr xmlns="http://schemas.microsoft.com/office/spreadsheetml/2009/9/main" objectType="Drop" dropLines="4" dropStyle="combo" dx="16" fmlaLink="$D$37" fmlaRange="Apoio!$B$4:$F$7" noThreeD="1" sel="1" val="0"/>
</file>

<file path=xl/ctrlProps/ctrlProp69.xml><?xml version="1.0" encoding="utf-8"?>
<formControlPr xmlns="http://schemas.microsoft.com/office/spreadsheetml/2009/9/main" objectType="Drop" dropLines="3" dropStyle="combo" dx="16" fmlaLink="$D$38" fmlaRange="Apoio!$B$4:$F$6" noThreeD="1" sel="1" val="0"/>
</file>

<file path=xl/ctrlProps/ctrlProp7.xml><?xml version="1.0" encoding="utf-8"?>
<formControlPr xmlns="http://schemas.microsoft.com/office/spreadsheetml/2009/9/main" objectType="Drop" dropLines="4" dropStyle="combo" dx="16" fmlaLink="H40" fmlaRange="Apoio!$B$4:$F$7" noThreeD="1" sel="1" val="0"/>
</file>

<file path=xl/ctrlProps/ctrlProp70.xml><?xml version="1.0" encoding="utf-8"?>
<formControlPr xmlns="http://schemas.microsoft.com/office/spreadsheetml/2009/9/main" objectType="Drop" dropLines="4" dropStyle="combo" dx="16" fmlaLink="$D$39" fmlaRange="Apoio!$B$4:$F$7" noThreeD="1" sel="1" val="0"/>
</file>

<file path=xl/ctrlProps/ctrlProp71.xml><?xml version="1.0" encoding="utf-8"?>
<formControlPr xmlns="http://schemas.microsoft.com/office/spreadsheetml/2009/9/main" objectType="Drop" dropLines="4" dropStyle="combo" dx="16" fmlaLink="$D$40" fmlaRange="Apoio!$B$4:$F$7" noThreeD="1" sel="1" val="0"/>
</file>

<file path=xl/ctrlProps/ctrlProp72.xml><?xml version="1.0" encoding="utf-8"?>
<formControlPr xmlns="http://schemas.microsoft.com/office/spreadsheetml/2009/9/main" objectType="Drop" dropLines="4" dropStyle="combo" dx="16" fmlaLink="$D$41" fmlaRange="Apoio!$B$4:$F$7" noThreeD="1" sel="1" val="0"/>
</file>

<file path=xl/ctrlProps/ctrlProp73.xml><?xml version="1.0" encoding="utf-8"?>
<formControlPr xmlns="http://schemas.microsoft.com/office/spreadsheetml/2009/9/main" objectType="Drop" dropLines="4" dropStyle="combo" dx="16" fmlaLink="$D$42" fmlaRange="Apoio!$B$4:$F$7" noThreeD="1" sel="1" val="0"/>
</file>

<file path=xl/ctrlProps/ctrlProp74.xml><?xml version="1.0" encoding="utf-8"?>
<formControlPr xmlns="http://schemas.microsoft.com/office/spreadsheetml/2009/9/main" objectType="Drop" dropLines="4" dropStyle="combo" dx="16" fmlaLink="$H$11" fmlaRange="Apoio!$B$4:$F$7" noThreeD="1" sel="1" val="0"/>
</file>

<file path=xl/ctrlProps/ctrlProp75.xml><?xml version="1.0" encoding="utf-8"?>
<formControlPr xmlns="http://schemas.microsoft.com/office/spreadsheetml/2009/9/main" objectType="Drop" dropLines="4" dropStyle="combo" dx="16" fmlaLink="$H$12" fmlaRange="Apoio!$B$4:$F$7" noThreeD="1" sel="1" val="0"/>
</file>

<file path=xl/ctrlProps/ctrlProp76.xml><?xml version="1.0" encoding="utf-8"?>
<formControlPr xmlns="http://schemas.microsoft.com/office/spreadsheetml/2009/9/main" objectType="Drop" dropLines="4" dropStyle="combo" dx="16" fmlaLink="$H$13" fmlaRange="Apoio!$B$4:$F$7" noThreeD="1" sel="1" val="0"/>
</file>

<file path=xl/ctrlProps/ctrlProp77.xml><?xml version="1.0" encoding="utf-8"?>
<formControlPr xmlns="http://schemas.microsoft.com/office/spreadsheetml/2009/9/main" objectType="Drop" dropLines="4" dropStyle="combo" dx="16" fmlaLink="$H$14" fmlaRange="Apoio!$B$4:$F$7" noThreeD="1" sel="1" val="0"/>
</file>

<file path=xl/ctrlProps/ctrlProp78.xml><?xml version="1.0" encoding="utf-8"?>
<formControlPr xmlns="http://schemas.microsoft.com/office/spreadsheetml/2009/9/main" objectType="Drop" dropLines="4" dropStyle="combo" dx="16" fmlaLink="$H$15" fmlaRange="Apoio!$B$4:$F$7" noThreeD="1" sel="1" val="0"/>
</file>

<file path=xl/ctrlProps/ctrlProp79.xml><?xml version="1.0" encoding="utf-8"?>
<formControlPr xmlns="http://schemas.microsoft.com/office/spreadsheetml/2009/9/main" objectType="Drop" dropLines="4" dropStyle="combo" dx="16" fmlaLink="$H$16" fmlaRange="Apoio!$B$4:$F$7" noThreeD="1" sel="1" val="0"/>
</file>

<file path=xl/ctrlProps/ctrlProp8.xml><?xml version="1.0" encoding="utf-8"?>
<formControlPr xmlns="http://schemas.microsoft.com/office/spreadsheetml/2009/9/main" objectType="Drop" dropLines="4" dropStyle="combo" dx="16" fmlaLink="H41" fmlaRange="Apoio!$B$4:$F$7" noThreeD="1" sel="1" val="0"/>
</file>

<file path=xl/ctrlProps/ctrlProp80.xml><?xml version="1.0" encoding="utf-8"?>
<formControlPr xmlns="http://schemas.microsoft.com/office/spreadsheetml/2009/9/main" objectType="Drop" dropLines="4" dropStyle="combo" dx="16" fmlaLink="$H$17" fmlaRange="Apoio!$B$4:$F$7" noThreeD="1" sel="1" val="0"/>
</file>

<file path=xl/ctrlProps/ctrlProp81.xml><?xml version="1.0" encoding="utf-8"?>
<formControlPr xmlns="http://schemas.microsoft.com/office/spreadsheetml/2009/9/main" objectType="Drop" dropLines="4" dropStyle="combo" dx="16" fmlaLink="$H$18" fmlaRange="Apoio!$B$4:$F$7" noThreeD="1" sel="1" val="0"/>
</file>

<file path=xl/ctrlProps/ctrlProp82.xml><?xml version="1.0" encoding="utf-8"?>
<formControlPr xmlns="http://schemas.microsoft.com/office/spreadsheetml/2009/9/main" objectType="Drop" dropLines="4" dropStyle="combo" dx="16" fmlaLink="$H$19" fmlaRange="Apoio!$B$4:$F$7" noThreeD="1" sel="1" val="0"/>
</file>

<file path=xl/ctrlProps/ctrlProp83.xml><?xml version="1.0" encoding="utf-8"?>
<formControlPr xmlns="http://schemas.microsoft.com/office/spreadsheetml/2009/9/main" objectType="Drop" dropLines="4" dropStyle="combo" dx="16" fmlaLink="$H$20" fmlaRange="Apoio!$B$4:$F$7" noThreeD="1" sel="1" val="0"/>
</file>

<file path=xl/ctrlProps/ctrlProp84.xml><?xml version="1.0" encoding="utf-8"?>
<formControlPr xmlns="http://schemas.microsoft.com/office/spreadsheetml/2009/9/main" objectType="Drop" dropLines="4" dropStyle="combo" dx="16" fmlaLink="$H$21" fmlaRange="Apoio!$B$4:$F$7" noThreeD="1" sel="1" val="0"/>
</file>

<file path=xl/ctrlProps/ctrlProp85.xml><?xml version="1.0" encoding="utf-8"?>
<formControlPr xmlns="http://schemas.microsoft.com/office/spreadsheetml/2009/9/main" objectType="Drop" dropLines="4" dropStyle="combo" dx="16" fmlaLink="$H$22" fmlaRange="Apoio!$B$4:$F$7" noThreeD="1" sel="1" val="0"/>
</file>

<file path=xl/ctrlProps/ctrlProp9.xml><?xml version="1.0" encoding="utf-8"?>
<formControlPr xmlns="http://schemas.microsoft.com/office/spreadsheetml/2009/9/main" objectType="Drop" dropLines="4" dropStyle="combo" dx="16" fmlaLink="H42" fmlaRange="Apoio!$B$4:$F$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360590</xdr:colOff>
      <xdr:row>0</xdr:row>
      <xdr:rowOff>6804</xdr:rowOff>
    </xdr:from>
    <xdr:to>
      <xdr:col>3</xdr:col>
      <xdr:colOff>1619251</xdr:colOff>
      <xdr:row>0</xdr:row>
      <xdr:rowOff>530147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90" y="6804"/>
          <a:ext cx="4490357" cy="523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76200</xdr:rowOff>
    </xdr:from>
    <xdr:to>
      <xdr:col>3</xdr:col>
      <xdr:colOff>685800</xdr:colOff>
      <xdr:row>0</xdr:row>
      <xdr:rowOff>457549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76200"/>
          <a:ext cx="3267074" cy="381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1628775</xdr:colOff>
          <xdr:row>32</xdr:row>
          <xdr:rowOff>180975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0</xdr:rowOff>
        </xdr:from>
        <xdr:to>
          <xdr:col>8</xdr:col>
          <xdr:colOff>0</xdr:colOff>
          <xdr:row>33</xdr:row>
          <xdr:rowOff>180975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9526</xdr:rowOff>
        </xdr:from>
        <xdr:to>
          <xdr:col>7</xdr:col>
          <xdr:colOff>1629525</xdr:colOff>
          <xdr:row>34</xdr:row>
          <xdr:rowOff>180976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35</xdr:row>
          <xdr:rowOff>9525</xdr:rowOff>
        </xdr:from>
        <xdr:to>
          <xdr:col>7</xdr:col>
          <xdr:colOff>1629524</xdr:colOff>
          <xdr:row>36</xdr:row>
          <xdr:rowOff>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36</xdr:row>
          <xdr:rowOff>9525</xdr:rowOff>
        </xdr:from>
        <xdr:to>
          <xdr:col>7</xdr:col>
          <xdr:colOff>1629524</xdr:colOff>
          <xdr:row>37</xdr:row>
          <xdr:rowOff>0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37</xdr:row>
          <xdr:rowOff>0</xdr:rowOff>
        </xdr:from>
        <xdr:to>
          <xdr:col>7</xdr:col>
          <xdr:colOff>1629524</xdr:colOff>
          <xdr:row>37</xdr:row>
          <xdr:rowOff>180975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39</xdr:row>
          <xdr:rowOff>0</xdr:rowOff>
        </xdr:from>
        <xdr:to>
          <xdr:col>7</xdr:col>
          <xdr:colOff>1629524</xdr:colOff>
          <xdr:row>39</xdr:row>
          <xdr:rowOff>180975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40</xdr:row>
          <xdr:rowOff>0</xdr:rowOff>
        </xdr:from>
        <xdr:to>
          <xdr:col>7</xdr:col>
          <xdr:colOff>1629524</xdr:colOff>
          <xdr:row>40</xdr:row>
          <xdr:rowOff>180975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41</xdr:row>
          <xdr:rowOff>9525</xdr:rowOff>
        </xdr:from>
        <xdr:to>
          <xdr:col>7</xdr:col>
          <xdr:colOff>1629524</xdr:colOff>
          <xdr:row>42</xdr:row>
          <xdr:rowOff>0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42</xdr:row>
          <xdr:rowOff>19050</xdr:rowOff>
        </xdr:from>
        <xdr:to>
          <xdr:col>7</xdr:col>
          <xdr:colOff>1629524</xdr:colOff>
          <xdr:row>43</xdr:row>
          <xdr:rowOff>0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43</xdr:row>
          <xdr:rowOff>9525</xdr:rowOff>
        </xdr:from>
        <xdr:to>
          <xdr:col>7</xdr:col>
          <xdr:colOff>1629524</xdr:colOff>
          <xdr:row>43</xdr:row>
          <xdr:rowOff>180975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</xdr:colOff>
          <xdr:row>38</xdr:row>
          <xdr:rowOff>0</xdr:rowOff>
        </xdr:from>
        <xdr:to>
          <xdr:col>7</xdr:col>
          <xdr:colOff>1629524</xdr:colOff>
          <xdr:row>38</xdr:row>
          <xdr:rowOff>180975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209549</xdr:colOff>
      <xdr:row>0</xdr:row>
      <xdr:rowOff>9525</xdr:rowOff>
    </xdr:from>
    <xdr:to>
      <xdr:col>6</xdr:col>
      <xdr:colOff>493260</xdr:colOff>
      <xdr:row>0</xdr:row>
      <xdr:rowOff>561975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9525"/>
          <a:ext cx="4741411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1</xdr:rowOff>
        </xdr:from>
        <xdr:to>
          <xdr:col>7</xdr:col>
          <xdr:colOff>1917525</xdr:colOff>
          <xdr:row>31</xdr:row>
          <xdr:rowOff>180001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0</xdr:rowOff>
        </xdr:from>
        <xdr:to>
          <xdr:col>7</xdr:col>
          <xdr:colOff>1917525</xdr:colOff>
          <xdr:row>32</xdr:row>
          <xdr:rowOff>180975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0</xdr:rowOff>
        </xdr:from>
        <xdr:to>
          <xdr:col>7</xdr:col>
          <xdr:colOff>1917525</xdr:colOff>
          <xdr:row>33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0</xdr:rowOff>
        </xdr:from>
        <xdr:to>
          <xdr:col>7</xdr:col>
          <xdr:colOff>1917525</xdr:colOff>
          <xdr:row>34</xdr:row>
          <xdr:rowOff>180975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0</xdr:rowOff>
        </xdr:from>
        <xdr:to>
          <xdr:col>7</xdr:col>
          <xdr:colOff>1917525</xdr:colOff>
          <xdr:row>35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0</xdr:rowOff>
        </xdr:from>
        <xdr:to>
          <xdr:col>7</xdr:col>
          <xdr:colOff>1917525</xdr:colOff>
          <xdr:row>36</xdr:row>
          <xdr:rowOff>180975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7</xdr:col>
          <xdr:colOff>1917525</xdr:colOff>
          <xdr:row>37</xdr:row>
          <xdr:rowOff>180975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0</xdr:rowOff>
        </xdr:from>
        <xdr:to>
          <xdr:col>7</xdr:col>
          <xdr:colOff>1917525</xdr:colOff>
          <xdr:row>38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0</xdr:rowOff>
        </xdr:from>
        <xdr:to>
          <xdr:col>7</xdr:col>
          <xdr:colOff>1917525</xdr:colOff>
          <xdr:row>39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0</xdr:rowOff>
        </xdr:from>
        <xdr:to>
          <xdr:col>7</xdr:col>
          <xdr:colOff>1917525</xdr:colOff>
          <xdr:row>40</xdr:row>
          <xdr:rowOff>180975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0</xdr:rowOff>
        </xdr:from>
        <xdr:to>
          <xdr:col>7</xdr:col>
          <xdr:colOff>1917525</xdr:colOff>
          <xdr:row>41</xdr:row>
          <xdr:rowOff>180975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7</xdr:col>
          <xdr:colOff>1917525</xdr:colOff>
          <xdr:row>42</xdr:row>
          <xdr:rowOff>180975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9524</xdr:colOff>
      <xdr:row>0</xdr:row>
      <xdr:rowOff>38100</xdr:rowOff>
    </xdr:from>
    <xdr:to>
      <xdr:col>4</xdr:col>
      <xdr:colOff>561975</xdr:colOff>
      <xdr:row>0</xdr:row>
      <xdr:rowOff>611874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49" y="38100"/>
          <a:ext cx="4924426" cy="573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31</xdr:row>
      <xdr:rowOff>9525</xdr:rowOff>
    </xdr:from>
    <xdr:to>
      <xdr:col>4</xdr:col>
      <xdr:colOff>1495425</xdr:colOff>
      <xdr:row>31</xdr:row>
      <xdr:rowOff>161925</xdr:rowOff>
    </xdr:to>
    <xdr:sp macro="" textlink="">
      <xdr:nvSpPr>
        <xdr:cNvPr id="5138" name="Drop Down 18" hidden="1">
          <a:extLst>
            <a:ext uri="{63B3BB69-23CF-44E3-9099-C40C66FF867C}">
              <a14:compatExt xmlns:a14="http://schemas.microsoft.com/office/drawing/2010/main" spid="_x0000_s5138"/>
            </a:ext>
            <a:ext uri="{FF2B5EF4-FFF2-40B4-BE49-F238E27FC236}">
              <a16:creationId xmlns:a16="http://schemas.microsoft.com/office/drawing/2014/main" id="{00000000-0008-0000-0400-000012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19050</xdr:colOff>
      <xdr:row>32</xdr:row>
      <xdr:rowOff>9525</xdr:rowOff>
    </xdr:from>
    <xdr:to>
      <xdr:col>4</xdr:col>
      <xdr:colOff>1504950</xdr:colOff>
      <xdr:row>32</xdr:row>
      <xdr:rowOff>171450</xdr:rowOff>
    </xdr:to>
    <xdr:sp macro="" textlink="">
      <xdr:nvSpPr>
        <xdr:cNvPr id="5139" name="Drop Down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400-000013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34</xdr:row>
      <xdr:rowOff>19050</xdr:rowOff>
    </xdr:from>
    <xdr:to>
      <xdr:col>4</xdr:col>
      <xdr:colOff>1486958</xdr:colOff>
      <xdr:row>34</xdr:row>
      <xdr:rowOff>161925</xdr:rowOff>
    </xdr:to>
    <xdr:sp macro="" textlink="">
      <xdr:nvSpPr>
        <xdr:cNvPr id="5141" name="Drop Down 21" hidden="1">
          <a:extLst>
            <a:ext uri="{63B3BB69-23CF-44E3-9099-C40C66FF867C}">
              <a14:compatExt xmlns:a14="http://schemas.microsoft.com/office/drawing/2010/main" spid="_x0000_s5141"/>
            </a:ex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35</xdr:row>
      <xdr:rowOff>9525</xdr:rowOff>
    </xdr:from>
    <xdr:to>
      <xdr:col>4</xdr:col>
      <xdr:colOff>1495425</xdr:colOff>
      <xdr:row>35</xdr:row>
      <xdr:rowOff>161925</xdr:rowOff>
    </xdr:to>
    <xdr:sp macro="" textlink="">
      <xdr:nvSpPr>
        <xdr:cNvPr id="5142" name="Drop Down 22" hidden="1">
          <a:extLst>
            <a:ext uri="{63B3BB69-23CF-44E3-9099-C40C66FF867C}">
              <a14:compatExt xmlns:a14="http://schemas.microsoft.com/office/drawing/2010/main" spid="_x0000_s5142"/>
            </a:ex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36</xdr:row>
      <xdr:rowOff>9525</xdr:rowOff>
    </xdr:from>
    <xdr:to>
      <xdr:col>4</xdr:col>
      <xdr:colOff>1495425</xdr:colOff>
      <xdr:row>36</xdr:row>
      <xdr:rowOff>161925</xdr:rowOff>
    </xdr:to>
    <xdr:sp macro="" textlink="">
      <xdr:nvSpPr>
        <xdr:cNvPr id="5143" name="Drop Down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9525</xdr:rowOff>
        </xdr:from>
        <xdr:to>
          <xdr:col>5</xdr:col>
          <xdr:colOff>0</xdr:colOff>
          <xdr:row>31</xdr:row>
          <xdr:rowOff>200025</xdr:rowOff>
        </xdr:to>
        <xdr:sp macro="" textlink="">
          <xdr:nvSpPr>
            <xdr:cNvPr id="2" name="Drop Dow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19050</xdr:rowOff>
        </xdr:from>
        <xdr:to>
          <xdr:col>4</xdr:col>
          <xdr:colOff>1485900</xdr:colOff>
          <xdr:row>34</xdr:row>
          <xdr:rowOff>161925</xdr:rowOff>
        </xdr:to>
        <xdr:sp macro="" textlink="">
          <xdr:nvSpPr>
            <xdr:cNvPr id="3" name="Drop Dow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9525</xdr:rowOff>
        </xdr:from>
        <xdr:to>
          <xdr:col>4</xdr:col>
          <xdr:colOff>1495425</xdr:colOff>
          <xdr:row>35</xdr:row>
          <xdr:rowOff>161925</xdr:rowOff>
        </xdr:to>
        <xdr:sp macro="" textlink="">
          <xdr:nvSpPr>
            <xdr:cNvPr id="4" name="Drop Dow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9525</xdr:rowOff>
        </xdr:from>
        <xdr:to>
          <xdr:col>4</xdr:col>
          <xdr:colOff>1495425</xdr:colOff>
          <xdr:row>36</xdr:row>
          <xdr:rowOff>161925</xdr:rowOff>
        </xdr:to>
        <xdr:sp macro="" textlink="">
          <xdr:nvSpPr>
            <xdr:cNvPr id="5" name="Drop Dow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19050</xdr:rowOff>
        </xdr:from>
        <xdr:to>
          <xdr:col>5</xdr:col>
          <xdr:colOff>0</xdr:colOff>
          <xdr:row>38</xdr:row>
          <xdr:rowOff>9525</xdr:rowOff>
        </xdr:to>
        <xdr:sp macro="" textlink="">
          <xdr:nvSpPr>
            <xdr:cNvPr id="5144" name="Drop Down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9525</xdr:rowOff>
        </xdr:from>
        <xdr:to>
          <xdr:col>5</xdr:col>
          <xdr:colOff>0</xdr:colOff>
          <xdr:row>38</xdr:row>
          <xdr:rowOff>200025</xdr:rowOff>
        </xdr:to>
        <xdr:sp macro="" textlink="">
          <xdr:nvSpPr>
            <xdr:cNvPr id="5145" name="Drop Dow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9525</xdr:rowOff>
        </xdr:from>
        <xdr:to>
          <xdr:col>4</xdr:col>
          <xdr:colOff>3238500</xdr:colOff>
          <xdr:row>39</xdr:row>
          <xdr:rowOff>200025</xdr:rowOff>
        </xdr:to>
        <xdr:sp macro="" textlink="">
          <xdr:nvSpPr>
            <xdr:cNvPr id="5146" name="Drop Dow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9525</xdr:rowOff>
        </xdr:from>
        <xdr:to>
          <xdr:col>4</xdr:col>
          <xdr:colOff>3238500</xdr:colOff>
          <xdr:row>40</xdr:row>
          <xdr:rowOff>200025</xdr:rowOff>
        </xdr:to>
        <xdr:sp macro="" textlink="">
          <xdr:nvSpPr>
            <xdr:cNvPr id="5147" name="Drop Dow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9525</xdr:rowOff>
        </xdr:from>
        <xdr:to>
          <xdr:col>4</xdr:col>
          <xdr:colOff>3238500</xdr:colOff>
          <xdr:row>41</xdr:row>
          <xdr:rowOff>200025</xdr:rowOff>
        </xdr:to>
        <xdr:sp macro="" textlink="">
          <xdr:nvSpPr>
            <xdr:cNvPr id="5148" name="Drop Dow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30</xdr:row>
          <xdr:rowOff>9525</xdr:rowOff>
        </xdr:from>
        <xdr:to>
          <xdr:col>5</xdr:col>
          <xdr:colOff>0</xdr:colOff>
          <xdr:row>30</xdr:row>
          <xdr:rowOff>200025</xdr:rowOff>
        </xdr:to>
        <xdr:sp macro="" textlink="">
          <xdr:nvSpPr>
            <xdr:cNvPr id="5149" name="Drop Dow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9525</xdr:rowOff>
        </xdr:from>
        <xdr:to>
          <xdr:col>4</xdr:col>
          <xdr:colOff>3238500</xdr:colOff>
          <xdr:row>33</xdr:row>
          <xdr:rowOff>200025</xdr:rowOff>
        </xdr:to>
        <xdr:sp macro="" textlink="">
          <xdr:nvSpPr>
            <xdr:cNvPr id="5151" name="Drop Dow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19050</xdr:rowOff>
        </xdr:from>
        <xdr:to>
          <xdr:col>5</xdr:col>
          <xdr:colOff>9525</xdr:colOff>
          <xdr:row>35</xdr:row>
          <xdr:rowOff>9525</xdr:rowOff>
        </xdr:to>
        <xdr:sp macro="" textlink="">
          <xdr:nvSpPr>
            <xdr:cNvPr id="5154" name="Drop Dow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9525</xdr:rowOff>
        </xdr:from>
        <xdr:to>
          <xdr:col>5</xdr:col>
          <xdr:colOff>0</xdr:colOff>
          <xdr:row>35</xdr:row>
          <xdr:rowOff>200025</xdr:rowOff>
        </xdr:to>
        <xdr:sp macro="" textlink="">
          <xdr:nvSpPr>
            <xdr:cNvPr id="5153" name="Drop Down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19050</xdr:rowOff>
        </xdr:from>
        <xdr:to>
          <xdr:col>4</xdr:col>
          <xdr:colOff>3238500</xdr:colOff>
          <xdr:row>37</xdr:row>
          <xdr:rowOff>0</xdr:rowOff>
        </xdr:to>
        <xdr:sp macro="" textlink="">
          <xdr:nvSpPr>
            <xdr:cNvPr id="5152" name="Drop Down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9525</xdr:rowOff>
        </xdr:from>
        <xdr:to>
          <xdr:col>4</xdr:col>
          <xdr:colOff>3238500</xdr:colOff>
          <xdr:row>32</xdr:row>
          <xdr:rowOff>190500</xdr:rowOff>
        </xdr:to>
        <xdr:sp macro="" textlink="">
          <xdr:nvSpPr>
            <xdr:cNvPr id="5155" name="Drop Down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31</xdr:row>
          <xdr:rowOff>9525</xdr:rowOff>
        </xdr:from>
        <xdr:to>
          <xdr:col>5</xdr:col>
          <xdr:colOff>0</xdr:colOff>
          <xdr:row>31</xdr:row>
          <xdr:rowOff>200025</xdr:rowOff>
        </xdr:to>
        <xdr:sp macro="" textlink="">
          <xdr:nvSpPr>
            <xdr:cNvPr id="5156" name="Drop Down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32</xdr:row>
          <xdr:rowOff>9525</xdr:rowOff>
        </xdr:from>
        <xdr:to>
          <xdr:col>5</xdr:col>
          <xdr:colOff>0</xdr:colOff>
          <xdr:row>32</xdr:row>
          <xdr:rowOff>200025</xdr:rowOff>
        </xdr:to>
        <xdr:sp macro="" textlink="">
          <xdr:nvSpPr>
            <xdr:cNvPr id="5157" name="Drop Down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33</xdr:row>
          <xdr:rowOff>9525</xdr:rowOff>
        </xdr:from>
        <xdr:to>
          <xdr:col>5</xdr:col>
          <xdr:colOff>0</xdr:colOff>
          <xdr:row>33</xdr:row>
          <xdr:rowOff>200025</xdr:rowOff>
        </xdr:to>
        <xdr:sp macro="" textlink="">
          <xdr:nvSpPr>
            <xdr:cNvPr id="5158" name="Drop Dow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34</xdr:row>
          <xdr:rowOff>9525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5159" name="Drop Down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35</xdr:row>
          <xdr:rowOff>9525</xdr:rowOff>
        </xdr:from>
        <xdr:to>
          <xdr:col>5</xdr:col>
          <xdr:colOff>0</xdr:colOff>
          <xdr:row>35</xdr:row>
          <xdr:rowOff>200025</xdr:rowOff>
        </xdr:to>
        <xdr:sp macro="" textlink="">
          <xdr:nvSpPr>
            <xdr:cNvPr id="5160" name="Drop Down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36</xdr:row>
          <xdr:rowOff>9525</xdr:rowOff>
        </xdr:from>
        <xdr:to>
          <xdr:col>5</xdr:col>
          <xdr:colOff>0</xdr:colOff>
          <xdr:row>36</xdr:row>
          <xdr:rowOff>200025</xdr:rowOff>
        </xdr:to>
        <xdr:sp macro="" textlink="">
          <xdr:nvSpPr>
            <xdr:cNvPr id="5161" name="Drop Down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37</xdr:row>
          <xdr:rowOff>9525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5162" name="Drop Dow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38</xdr:row>
          <xdr:rowOff>9525</xdr:rowOff>
        </xdr:from>
        <xdr:to>
          <xdr:col>5</xdr:col>
          <xdr:colOff>0</xdr:colOff>
          <xdr:row>38</xdr:row>
          <xdr:rowOff>200025</xdr:rowOff>
        </xdr:to>
        <xdr:sp macro="" textlink="">
          <xdr:nvSpPr>
            <xdr:cNvPr id="5163" name="Drop Down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39</xdr:row>
          <xdr:rowOff>9525</xdr:rowOff>
        </xdr:from>
        <xdr:to>
          <xdr:col>5</xdr:col>
          <xdr:colOff>0</xdr:colOff>
          <xdr:row>39</xdr:row>
          <xdr:rowOff>200025</xdr:rowOff>
        </xdr:to>
        <xdr:sp macro="" textlink="">
          <xdr:nvSpPr>
            <xdr:cNvPr id="5164" name="Drop Dow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40</xdr:row>
          <xdr:rowOff>9525</xdr:rowOff>
        </xdr:from>
        <xdr:to>
          <xdr:col>5</xdr:col>
          <xdr:colOff>0</xdr:colOff>
          <xdr:row>40</xdr:row>
          <xdr:rowOff>200025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4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41</xdr:row>
          <xdr:rowOff>9525</xdr:rowOff>
        </xdr:from>
        <xdr:to>
          <xdr:col>5</xdr:col>
          <xdr:colOff>0</xdr:colOff>
          <xdr:row>41</xdr:row>
          <xdr:rowOff>200025</xdr:rowOff>
        </xdr:to>
        <xdr:sp macro="" textlink="">
          <xdr:nvSpPr>
            <xdr:cNvPr id="5166" name="Drop Dow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4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31</xdr:row>
          <xdr:rowOff>9525</xdr:rowOff>
        </xdr:from>
        <xdr:to>
          <xdr:col>5</xdr:col>
          <xdr:colOff>0</xdr:colOff>
          <xdr:row>31</xdr:row>
          <xdr:rowOff>200025</xdr:rowOff>
        </xdr:to>
        <xdr:sp macro="" textlink="">
          <xdr:nvSpPr>
            <xdr:cNvPr id="5167" name="Drop Dow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4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32</xdr:row>
          <xdr:rowOff>9525</xdr:rowOff>
        </xdr:from>
        <xdr:to>
          <xdr:col>5</xdr:col>
          <xdr:colOff>0</xdr:colOff>
          <xdr:row>32</xdr:row>
          <xdr:rowOff>200025</xdr:rowOff>
        </xdr:to>
        <xdr:sp macro="" textlink="">
          <xdr:nvSpPr>
            <xdr:cNvPr id="5168" name="Drop Down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33</xdr:row>
          <xdr:rowOff>9525</xdr:rowOff>
        </xdr:from>
        <xdr:to>
          <xdr:col>5</xdr:col>
          <xdr:colOff>0</xdr:colOff>
          <xdr:row>33</xdr:row>
          <xdr:rowOff>200025</xdr:rowOff>
        </xdr:to>
        <xdr:sp macro="" textlink="">
          <xdr:nvSpPr>
            <xdr:cNvPr id="5169" name="Drop Down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34</xdr:row>
          <xdr:rowOff>9525</xdr:rowOff>
        </xdr:from>
        <xdr:to>
          <xdr:col>5</xdr:col>
          <xdr:colOff>0</xdr:colOff>
          <xdr:row>34</xdr:row>
          <xdr:rowOff>200025</xdr:rowOff>
        </xdr:to>
        <xdr:sp macro="" textlink="">
          <xdr:nvSpPr>
            <xdr:cNvPr id="5170" name="Drop Down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4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35</xdr:row>
          <xdr:rowOff>9525</xdr:rowOff>
        </xdr:from>
        <xdr:to>
          <xdr:col>5</xdr:col>
          <xdr:colOff>0</xdr:colOff>
          <xdr:row>35</xdr:row>
          <xdr:rowOff>200025</xdr:rowOff>
        </xdr:to>
        <xdr:sp macro="" textlink="">
          <xdr:nvSpPr>
            <xdr:cNvPr id="5171" name="Drop Down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4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36</xdr:row>
          <xdr:rowOff>9525</xdr:rowOff>
        </xdr:from>
        <xdr:to>
          <xdr:col>5</xdr:col>
          <xdr:colOff>0</xdr:colOff>
          <xdr:row>36</xdr:row>
          <xdr:rowOff>200025</xdr:rowOff>
        </xdr:to>
        <xdr:sp macro="" textlink="">
          <xdr:nvSpPr>
            <xdr:cNvPr id="5172" name="Drop Down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37</xdr:row>
          <xdr:rowOff>9525</xdr:rowOff>
        </xdr:from>
        <xdr:to>
          <xdr:col>5</xdr:col>
          <xdr:colOff>0</xdr:colOff>
          <xdr:row>37</xdr:row>
          <xdr:rowOff>200025</xdr:rowOff>
        </xdr:to>
        <xdr:sp macro="" textlink="">
          <xdr:nvSpPr>
            <xdr:cNvPr id="5173" name="Drop Dow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38</xdr:row>
          <xdr:rowOff>9525</xdr:rowOff>
        </xdr:from>
        <xdr:to>
          <xdr:col>5</xdr:col>
          <xdr:colOff>0</xdr:colOff>
          <xdr:row>38</xdr:row>
          <xdr:rowOff>200025</xdr:rowOff>
        </xdr:to>
        <xdr:sp macro="" textlink="">
          <xdr:nvSpPr>
            <xdr:cNvPr id="5174" name="Drop Dow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39</xdr:row>
          <xdr:rowOff>9525</xdr:rowOff>
        </xdr:from>
        <xdr:to>
          <xdr:col>5</xdr:col>
          <xdr:colOff>0</xdr:colOff>
          <xdr:row>39</xdr:row>
          <xdr:rowOff>200025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40</xdr:row>
          <xdr:rowOff>9525</xdr:rowOff>
        </xdr:from>
        <xdr:to>
          <xdr:col>5</xdr:col>
          <xdr:colOff>0</xdr:colOff>
          <xdr:row>40</xdr:row>
          <xdr:rowOff>200025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4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3171825</xdr:colOff>
          <xdr:row>41</xdr:row>
          <xdr:rowOff>9525</xdr:rowOff>
        </xdr:from>
        <xdr:to>
          <xdr:col>5</xdr:col>
          <xdr:colOff>0</xdr:colOff>
          <xdr:row>41</xdr:row>
          <xdr:rowOff>200025</xdr:rowOff>
        </xdr:to>
        <xdr:sp macro="" textlink="">
          <xdr:nvSpPr>
            <xdr:cNvPr id="5177" name="Drop Dow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4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828675</xdr:colOff>
      <xdr:row>0</xdr:row>
      <xdr:rowOff>19050</xdr:rowOff>
    </xdr:from>
    <xdr:to>
      <xdr:col>4</xdr:col>
      <xdr:colOff>9526</xdr:colOff>
      <xdr:row>0</xdr:row>
      <xdr:rowOff>592824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8A63EF80-9374-4A11-9C8B-4E95F35EE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19050"/>
          <a:ext cx="4924426" cy="573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0</xdr:rowOff>
        </xdr:from>
        <xdr:to>
          <xdr:col>3</xdr:col>
          <xdr:colOff>3153833</xdr:colOff>
          <xdr:row>30</xdr:row>
          <xdr:rowOff>180975</xdr:rowOff>
        </xdr:to>
        <xdr:sp macro="" textlink="">
          <xdr:nvSpPr>
            <xdr:cNvPr id="6169" name="Drop Down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0</xdr:rowOff>
        </xdr:from>
        <xdr:to>
          <xdr:col>3</xdr:col>
          <xdr:colOff>3153833</xdr:colOff>
          <xdr:row>31</xdr:row>
          <xdr:rowOff>180975</xdr:rowOff>
        </xdr:to>
        <xdr:sp macro="" textlink="">
          <xdr:nvSpPr>
            <xdr:cNvPr id="6170" name="Drop Down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3</xdr:col>
          <xdr:colOff>3153833</xdr:colOff>
          <xdr:row>33</xdr:row>
          <xdr:rowOff>0</xdr:rowOff>
        </xdr:to>
        <xdr:sp macro="" textlink="">
          <xdr:nvSpPr>
            <xdr:cNvPr id="6171" name="Drop Down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9525</xdr:rowOff>
        </xdr:from>
        <xdr:to>
          <xdr:col>3</xdr:col>
          <xdr:colOff>3153833</xdr:colOff>
          <xdr:row>34</xdr:row>
          <xdr:rowOff>0</xdr:rowOff>
        </xdr:to>
        <xdr:sp macro="" textlink="">
          <xdr:nvSpPr>
            <xdr:cNvPr id="6172" name="Drop Down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19050</xdr:rowOff>
        </xdr:from>
        <xdr:to>
          <xdr:col>3</xdr:col>
          <xdr:colOff>3153833</xdr:colOff>
          <xdr:row>35</xdr:row>
          <xdr:rowOff>9525</xdr:rowOff>
        </xdr:to>
        <xdr:sp macro="" textlink="">
          <xdr:nvSpPr>
            <xdr:cNvPr id="6173" name="Drop Dow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3153833</xdr:colOff>
          <xdr:row>36</xdr:row>
          <xdr:rowOff>0</xdr:rowOff>
        </xdr:to>
        <xdr:sp macro="" textlink="">
          <xdr:nvSpPr>
            <xdr:cNvPr id="6174" name="Drop Down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36</xdr:row>
          <xdr:rowOff>9525</xdr:rowOff>
        </xdr:from>
        <xdr:to>
          <xdr:col>3</xdr:col>
          <xdr:colOff>3143250</xdr:colOff>
          <xdr:row>37</xdr:row>
          <xdr:rowOff>9525</xdr:rowOff>
        </xdr:to>
        <xdr:sp macro="" textlink="">
          <xdr:nvSpPr>
            <xdr:cNvPr id="6175" name="Drop Down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9525</xdr:rowOff>
        </xdr:from>
        <xdr:to>
          <xdr:col>3</xdr:col>
          <xdr:colOff>3153833</xdr:colOff>
          <xdr:row>38</xdr:row>
          <xdr:rowOff>9525</xdr:rowOff>
        </xdr:to>
        <xdr:sp macro="" textlink="">
          <xdr:nvSpPr>
            <xdr:cNvPr id="6176" name="Drop Down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19050</xdr:rowOff>
        </xdr:from>
        <xdr:to>
          <xdr:col>3</xdr:col>
          <xdr:colOff>3143250</xdr:colOff>
          <xdr:row>39</xdr:row>
          <xdr:rowOff>9525</xdr:rowOff>
        </xdr:to>
        <xdr:sp macro="" textlink="">
          <xdr:nvSpPr>
            <xdr:cNvPr id="6177" name="Drop Down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9525</xdr:rowOff>
        </xdr:from>
        <xdr:to>
          <xdr:col>3</xdr:col>
          <xdr:colOff>3153833</xdr:colOff>
          <xdr:row>40</xdr:row>
          <xdr:rowOff>9525</xdr:rowOff>
        </xdr:to>
        <xdr:sp macro="" textlink="">
          <xdr:nvSpPr>
            <xdr:cNvPr id="6178" name="Drop Down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9525</xdr:rowOff>
        </xdr:from>
        <xdr:to>
          <xdr:col>3</xdr:col>
          <xdr:colOff>3153833</xdr:colOff>
          <xdr:row>41</xdr:row>
          <xdr:rowOff>0</xdr:rowOff>
        </xdr:to>
        <xdr:sp macro="" textlink="">
          <xdr:nvSpPr>
            <xdr:cNvPr id="6179" name="Drop Down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180975</xdr:rowOff>
        </xdr:from>
        <xdr:to>
          <xdr:col>3</xdr:col>
          <xdr:colOff>3153833</xdr:colOff>
          <xdr:row>41</xdr:row>
          <xdr:rowOff>180975</xdr:rowOff>
        </xdr:to>
        <xdr:sp macro="" textlink="">
          <xdr:nvSpPr>
            <xdr:cNvPr id="6180" name="Drop Down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1006473</xdr:colOff>
      <xdr:row>0</xdr:row>
      <xdr:rowOff>35983</xdr:rowOff>
    </xdr:from>
    <xdr:to>
      <xdr:col>3</xdr:col>
      <xdr:colOff>2931679</xdr:colOff>
      <xdr:row>0</xdr:row>
      <xdr:rowOff>609757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3" y="35983"/>
          <a:ext cx="4930873" cy="5737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1943100</xdr:colOff>
          <xdr:row>10</xdr:row>
          <xdr:rowOff>209550</xdr:rowOff>
        </xdr:to>
        <xdr:sp macro="" textlink="">
          <xdr:nvSpPr>
            <xdr:cNvPr id="6184" name="Drop Down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5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1943100</xdr:colOff>
          <xdr:row>11</xdr:row>
          <xdr:rowOff>209550</xdr:rowOff>
        </xdr:to>
        <xdr:sp macro="" textlink="">
          <xdr:nvSpPr>
            <xdr:cNvPr id="6185" name="Drop Down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5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1943100</xdr:colOff>
          <xdr:row>12</xdr:row>
          <xdr:rowOff>209550</xdr:rowOff>
        </xdr:to>
        <xdr:sp macro="" textlink="">
          <xdr:nvSpPr>
            <xdr:cNvPr id="6186" name="Drop Down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5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1943100</xdr:colOff>
          <xdr:row>13</xdr:row>
          <xdr:rowOff>209550</xdr:rowOff>
        </xdr:to>
        <xdr:sp macro="" textlink="">
          <xdr:nvSpPr>
            <xdr:cNvPr id="6187" name="Drop Down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5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1943100</xdr:colOff>
          <xdr:row>14</xdr:row>
          <xdr:rowOff>209550</xdr:rowOff>
        </xdr:to>
        <xdr:sp macro="" textlink="">
          <xdr:nvSpPr>
            <xdr:cNvPr id="6188" name="Drop Down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5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1943100</xdr:colOff>
          <xdr:row>15</xdr:row>
          <xdr:rowOff>209550</xdr:rowOff>
        </xdr:to>
        <xdr:sp macro="" textlink="">
          <xdr:nvSpPr>
            <xdr:cNvPr id="6189" name="Drop Down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5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1943100</xdr:colOff>
          <xdr:row>16</xdr:row>
          <xdr:rowOff>209550</xdr:rowOff>
        </xdr:to>
        <xdr:sp macro="" textlink="">
          <xdr:nvSpPr>
            <xdr:cNvPr id="6190" name="Drop Down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5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1943100</xdr:colOff>
          <xdr:row>17</xdr:row>
          <xdr:rowOff>209550</xdr:rowOff>
        </xdr:to>
        <xdr:sp macro="" textlink="">
          <xdr:nvSpPr>
            <xdr:cNvPr id="6191" name="Drop Down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5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1943100</xdr:colOff>
          <xdr:row>18</xdr:row>
          <xdr:rowOff>209550</xdr:rowOff>
        </xdr:to>
        <xdr:sp macro="" textlink="">
          <xdr:nvSpPr>
            <xdr:cNvPr id="6192" name="Drop Down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5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1943100</xdr:colOff>
          <xdr:row>19</xdr:row>
          <xdr:rowOff>209550</xdr:rowOff>
        </xdr:to>
        <xdr:sp macro="" textlink="">
          <xdr:nvSpPr>
            <xdr:cNvPr id="6193" name="Drop Down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5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1943100</xdr:colOff>
          <xdr:row>20</xdr:row>
          <xdr:rowOff>209550</xdr:rowOff>
        </xdr:to>
        <xdr:sp macro="" textlink="">
          <xdr:nvSpPr>
            <xdr:cNvPr id="6194" name="Drop Down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5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1943100</xdr:colOff>
          <xdr:row>21</xdr:row>
          <xdr:rowOff>209550</xdr:rowOff>
        </xdr:to>
        <xdr:sp macro="" textlink="">
          <xdr:nvSpPr>
            <xdr:cNvPr id="6195" name="Drop Down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5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518678</xdr:colOff>
      <xdr:row>0</xdr:row>
      <xdr:rowOff>13854</xdr:rowOff>
    </xdr:from>
    <xdr:to>
      <xdr:col>6</xdr:col>
      <xdr:colOff>10390</xdr:colOff>
      <xdr:row>0</xdr:row>
      <xdr:rowOff>585896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78" y="13854"/>
          <a:ext cx="4929621" cy="572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B28" totalsRowShown="0" headerRowDxfId="7" dataDxfId="0">
  <autoFilter ref="A4:B28"/>
  <tableColumns count="2">
    <tableColumn id="2" name="Mês" dataDxfId="2"/>
    <tableColumn id="3" name="D (kW)" dataDxfId="1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C4:D5" totalsRowShown="0" headerRowDxfId="4" dataDxfId="3">
  <autoFilter ref="C4:D5"/>
  <tableColumns count="2">
    <tableColumn id="1" name=" D máx (kW)" dataDxfId="6">
      <calculatedColumnFormula>MAX(B5:B28)</calculatedColumnFormula>
    </tableColumn>
    <tableColumn id="2" name="D ideal (kW)" dataDxfId="5">
      <calculatedColumnFormula>C5/(1+D6)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5:E17" totalsRowShown="0" headerRowDxfId="46" dataDxfId="44" headerRowBorderDxfId="45" tableBorderDxfId="43" totalsRowBorderDxfId="42">
  <autoFilter ref="A5:E17"/>
  <tableColumns count="5">
    <tableColumn id="2" name="Mês" dataDxfId="41">
      <calculatedColumnFormula>'Modalidade Azul'!A10</calculatedColumnFormula>
    </tableColumn>
    <tableColumn id="3" name="D (kW)" dataDxfId="40">
      <calculatedColumnFormula>'Modalidade Azul'!B10</calculatedColumnFormula>
    </tableColumn>
    <tableColumn id="1" name="D-Dmáx (kW)" dataDxfId="39">
      <calculatedColumnFormula>B6-$F$6</calculatedColumnFormula>
    </tableColumn>
    <tableColumn id="4" name="D U (R$)" dataDxfId="38">
      <calculatedColumnFormula>IF(C6&gt;0,$D$40*C6,0)</calculatedColumnFormula>
    </tableColumn>
    <tableColumn id="5" name="D C(R$)" dataDxfId="37" dataCellStyle="Moeda">
      <calculatedColumnFormula>IF(C6&lt;0,-$F$4*C6,0)</calculatedColumnFormula>
    </tableColumn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4" name="Tabela25" displayName="Tabela25" ref="F5:G6" totalsRowShown="0" headerRowDxfId="36" dataDxfId="35">
  <autoFilter ref="F5:G6"/>
  <tableColumns count="2">
    <tableColumn id="1" name=" D máx (kW)" dataDxfId="34">
      <calculatedColumnFormula>MAX(B6:B17)</calculatedColumnFormula>
    </tableColumn>
    <tableColumn id="2" name="D ideal (kW)" dataDxfId="33">
      <calculatedColumnFormula>F6/(1+G7)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5" name="Tabela146" displayName="Tabela146" ref="A21:E33" totalsRowShown="0" headerRowDxfId="32" dataDxfId="31">
  <autoFilter ref="A21:E33"/>
  <tableColumns count="5">
    <tableColumn id="2" name="Mês" dataDxfId="30">
      <calculatedColumnFormula>'Modalidade Azul'!A10</calculatedColumnFormula>
    </tableColumn>
    <tableColumn id="3" name="D (kW)" dataDxfId="29">
      <calculatedColumnFormula>'Modalidade Azul'!F10</calculatedColumnFormula>
    </tableColumn>
    <tableColumn id="1" name="D-Dmáx (kW)" dataDxfId="28">
      <calculatedColumnFormula>B22-$F$22</calculatedColumnFormula>
    </tableColumn>
    <tableColumn id="4" name="D U (R$)" dataDxfId="27">
      <calculatedColumnFormula>IF(C23&gt;0,$D$20*C23,0)</calculatedColumnFormula>
    </tableColumn>
    <tableColumn id="5" name="D C(R$)" dataDxfId="26" dataCellStyle="Moeda">
      <calculatedColumnFormula>IF(C22&lt;0,-$F$4*C22,0)</calculatedColumnFormula>
    </tableColumn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6" name="Tabela257" displayName="Tabela257" ref="F21:G22" totalsRowShown="0" headerRowDxfId="25" dataDxfId="24">
  <autoFilter ref="F21:G22"/>
  <tableColumns count="2">
    <tableColumn id="1" name=" D máx (kW)" dataDxfId="23">
      <calculatedColumnFormula>MAX(B22:B33)</calculatedColumnFormula>
    </tableColumn>
    <tableColumn id="2" name="D ideal (kW)" dataDxfId="22">
      <calculatedColumnFormula>F22/(1+G23)</calculatedColumnFormula>
    </tableColumn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id="7" name="Tabela148" displayName="Tabela148" ref="A40:E52" totalsRowShown="0" headerRowDxfId="21" dataDxfId="19" headerRowBorderDxfId="20" tableBorderDxfId="18" totalsRowBorderDxfId="17">
  <autoFilter ref="A40:E52"/>
  <tableColumns count="5">
    <tableColumn id="2" name="Mês" dataDxfId="16"/>
    <tableColumn id="3" name="D (kW)" dataDxfId="15">
      <calculatedColumnFormula>'Modalidade Verde'!B9</calculatedColumnFormula>
    </tableColumn>
    <tableColumn id="1" name="D-Dmáx (kW)" dataDxfId="14">
      <calculatedColumnFormula>B41-$F$6</calculatedColumnFormula>
    </tableColumn>
    <tableColumn id="4" name="D U (R$)" dataDxfId="13">
      <calculatedColumnFormula>IF(C41&gt;0,$D$40*C41,0)</calculatedColumnFormula>
    </tableColumn>
    <tableColumn id="5" name="D C(R$)" dataDxfId="12" dataCellStyle="Moeda">
      <calculatedColumnFormula>IF(C41&lt;0,-$F$4*C41,0)</calculatedColumnFormula>
    </tableColumn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id="8" name="Tabela259" displayName="Tabela259" ref="F40:G41" totalsRowShown="0" headerRowDxfId="11" dataDxfId="10">
  <autoFilter ref="F40:G41"/>
  <tableColumns count="2">
    <tableColumn id="1" name=" D máx (kW)" dataDxfId="9">
      <calculatedColumnFormula>MAX(B41:B52)</calculatedColumnFormula>
    </tableColumn>
    <tableColumn id="2" name="D ideal (kW)" dataDxfId="8">
      <calculatedColumnFormula>F41/(1+G42)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26" Type="http://schemas.openxmlformats.org/officeDocument/2006/relationships/ctrlProp" Target="../ctrlProps/ctrlProp8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9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4.xml"/><Relationship Id="rId20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trlProp" Target="../ctrlProps/ctrlProp8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20" zoomScaleNormal="120" workbookViewId="0">
      <selection activeCell="E2" sqref="E2"/>
    </sheetView>
  </sheetViews>
  <sheetFormatPr defaultRowHeight="15" x14ac:dyDescent="0.25"/>
  <cols>
    <col min="1" max="1" width="18.140625" style="126" customWidth="1"/>
    <col min="2" max="2" width="19.85546875" style="126" customWidth="1"/>
    <col min="3" max="3" width="10.42578125" style="126" customWidth="1"/>
    <col min="4" max="4" width="40" style="126" customWidth="1"/>
    <col min="5" max="5" width="14" style="126" customWidth="1"/>
    <col min="6" max="16384" width="9.140625" style="126"/>
  </cols>
  <sheetData>
    <row r="1" spans="1:5" ht="45" customHeight="1" x14ac:dyDescent="0.25">
      <c r="A1" s="125"/>
      <c r="B1" s="125"/>
      <c r="C1" s="125"/>
      <c r="D1" s="125"/>
    </row>
    <row r="2" spans="1:5" ht="31.5" customHeight="1" x14ac:dyDescent="0.25">
      <c r="A2" s="127" t="s">
        <v>83</v>
      </c>
      <c r="B2" s="125"/>
      <c r="C2" s="125"/>
      <c r="D2" s="125"/>
    </row>
    <row r="3" spans="1:5" ht="15" customHeight="1" thickBot="1" x14ac:dyDescent="0.3">
      <c r="A3" s="128" t="s">
        <v>84</v>
      </c>
      <c r="B3" s="128"/>
      <c r="C3" s="128"/>
      <c r="D3" s="128"/>
    </row>
    <row r="4" spans="1:5" x14ac:dyDescent="0.25">
      <c r="A4" s="129" t="s">
        <v>41</v>
      </c>
      <c r="B4" s="130"/>
      <c r="C4" s="130" t="s">
        <v>56</v>
      </c>
      <c r="D4" s="131"/>
    </row>
    <row r="5" spans="1:5" x14ac:dyDescent="0.25">
      <c r="A5" s="132" t="s">
        <v>28</v>
      </c>
      <c r="B5" s="133" t="s">
        <v>29</v>
      </c>
      <c r="C5" s="134"/>
      <c r="D5" s="135"/>
    </row>
    <row r="6" spans="1:5" x14ac:dyDescent="0.25">
      <c r="A6" s="136" t="s">
        <v>54</v>
      </c>
      <c r="B6" s="137">
        <f>'Modalidade Azul'!F48</f>
        <v>642806.51785099984</v>
      </c>
      <c r="C6" s="134"/>
      <c r="D6" s="135"/>
    </row>
    <row r="7" spans="1:5" x14ac:dyDescent="0.25">
      <c r="A7" s="138" t="s">
        <v>55</v>
      </c>
      <c r="B7" s="137">
        <f>'Modalidade Verde'!F47</f>
        <v>978031.58863149979</v>
      </c>
      <c r="C7" s="134"/>
      <c r="D7" s="135"/>
    </row>
    <row r="8" spans="1:5" ht="15.75" thickBot="1" x14ac:dyDescent="0.3">
      <c r="A8" s="139" t="s">
        <v>24</v>
      </c>
      <c r="B8" s="140">
        <f>'Modalidade Convencional'!D46</f>
        <v>469760.04627199995</v>
      </c>
      <c r="C8" s="141" t="str">
        <f>IF('Modalidade Convencional'!H6=1,'Modalidade Convencional'!H7,'Modalidade Convencional'!H8)</f>
        <v>Simulação inválida - Demanda &gt;150 kW</v>
      </c>
      <c r="D8" s="142"/>
    </row>
    <row r="9" spans="1:5" ht="16.5" thickBot="1" x14ac:dyDescent="0.3">
      <c r="A9" s="143" t="s">
        <v>30</v>
      </c>
      <c r="B9" s="144">
        <f>IF(D8=1,MIN(B6:B8),MIN(B6:B7))</f>
        <v>642806.51785099984</v>
      </c>
      <c r="C9" s="145" t="str">
        <f>IF(B9=B6,A6,IF(B9=B7,A7,A8))</f>
        <v>Horária Azul</v>
      </c>
      <c r="D9" s="146"/>
    </row>
    <row r="10" spans="1:5" ht="6" customHeight="1" thickBot="1" x14ac:dyDescent="0.3">
      <c r="A10" s="147"/>
      <c r="B10" s="147"/>
      <c r="C10" s="148"/>
      <c r="D10" s="148"/>
    </row>
    <row r="11" spans="1:5" x14ac:dyDescent="0.25">
      <c r="A11" s="129" t="s">
        <v>40</v>
      </c>
      <c r="B11" s="130"/>
      <c r="C11" s="130" t="s">
        <v>56</v>
      </c>
      <c r="D11" s="131"/>
    </row>
    <row r="12" spans="1:5" x14ac:dyDescent="0.25">
      <c r="A12" s="132" t="s">
        <v>28</v>
      </c>
      <c r="B12" s="133" t="s">
        <v>29</v>
      </c>
      <c r="C12" s="149"/>
      <c r="D12" s="150"/>
    </row>
    <row r="13" spans="1:5" ht="15.75" thickBot="1" x14ac:dyDescent="0.3">
      <c r="A13" s="151" t="s">
        <v>128</v>
      </c>
      <c r="B13" s="137">
        <f>'Baixa Tensão'!G24</f>
        <v>571987.78529975004</v>
      </c>
      <c r="C13" s="141" t="str">
        <f ca="1">IF('Baixa Tensão'!K10=1,'Baixa Tensão'!K11,'Baixa Tensão'!K12)</f>
        <v>Simulação inválida - Tarifa não vigente*</v>
      </c>
      <c r="D13" s="142"/>
      <c r="E13" s="152"/>
    </row>
    <row r="14" spans="1:5" ht="15.75" thickBot="1" x14ac:dyDescent="0.3">
      <c r="A14" s="139" t="s">
        <v>24</v>
      </c>
      <c r="B14" s="140">
        <f>'Baixa Tensão'!D44</f>
        <v>574117.36870799994</v>
      </c>
      <c r="C14" s="153"/>
      <c r="D14" s="154"/>
    </row>
    <row r="15" spans="1:5" ht="16.5" thickBot="1" x14ac:dyDescent="0.3">
      <c r="A15" s="143" t="s">
        <v>30</v>
      </c>
      <c r="B15" s="155">
        <f ca="1">IF('Baixa Tensão'!K10=2,B14,MIN(B13:B14))</f>
        <v>574117.36870799994</v>
      </c>
      <c r="C15" s="145" t="str">
        <f ca="1">IF(B15=B13,A13,A14)</f>
        <v>Convencional</v>
      </c>
      <c r="D15" s="146"/>
    </row>
    <row r="16" spans="1:5" ht="46.5" customHeight="1" x14ac:dyDescent="0.25">
      <c r="A16" s="156" t="s">
        <v>131</v>
      </c>
      <c r="B16" s="156"/>
      <c r="C16" s="156"/>
      <c r="D16" s="156"/>
    </row>
    <row r="20" spans="2:9" s="157" customFormat="1" ht="15" customHeight="1" x14ac:dyDescent="0.25">
      <c r="B20" s="126"/>
      <c r="C20" s="126"/>
      <c r="D20" s="126"/>
      <c r="E20" s="126"/>
      <c r="F20" s="126"/>
      <c r="G20" s="126"/>
      <c r="H20" s="126"/>
      <c r="I20" s="126"/>
    </row>
    <row r="21" spans="2:9" ht="13.5" customHeight="1" x14ac:dyDescent="0.25"/>
    <row r="22" spans="2:9" ht="15" customHeight="1" x14ac:dyDescent="0.25"/>
  </sheetData>
  <sheetProtection sheet="1" objects="1" scenarios="1"/>
  <mergeCells count="15">
    <mergeCell ref="A16:D16"/>
    <mergeCell ref="A11:B11"/>
    <mergeCell ref="C8:D8"/>
    <mergeCell ref="C15:D15"/>
    <mergeCell ref="C11:D11"/>
    <mergeCell ref="C13:D13"/>
    <mergeCell ref="C12:D12"/>
    <mergeCell ref="C14:D14"/>
    <mergeCell ref="A1:D1"/>
    <mergeCell ref="A2:D2"/>
    <mergeCell ref="A3:D3"/>
    <mergeCell ref="C9:D9"/>
    <mergeCell ref="A4:B4"/>
    <mergeCell ref="C4:D4"/>
    <mergeCell ref="C5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10" zoomScale="130" zoomScaleNormal="130" workbookViewId="0">
      <selection activeCell="C6" sqref="C6:C8"/>
    </sheetView>
  </sheetViews>
  <sheetFormatPr defaultRowHeight="15" x14ac:dyDescent="0.25"/>
  <cols>
    <col min="1" max="2" width="12.7109375" style="126" customWidth="1"/>
    <col min="3" max="3" width="15.140625" style="126" customWidth="1"/>
    <col min="4" max="4" width="14" style="126" customWidth="1"/>
    <col min="5" max="16384" width="9.140625" style="126"/>
  </cols>
  <sheetData>
    <row r="1" spans="1:8" ht="41.25" customHeight="1" x14ac:dyDescent="0.25">
      <c r="A1" s="125"/>
      <c r="B1" s="125"/>
      <c r="C1" s="125"/>
      <c r="D1" s="125"/>
    </row>
    <row r="2" spans="1:8" ht="45.75" customHeight="1" thickBot="1" x14ac:dyDescent="0.3">
      <c r="A2" s="127" t="s">
        <v>83</v>
      </c>
      <c r="B2" s="125"/>
      <c r="C2" s="125"/>
      <c r="D2" s="125"/>
    </row>
    <row r="3" spans="1:8" ht="15.75" thickBot="1" x14ac:dyDescent="0.3">
      <c r="A3" s="158" t="s">
        <v>0</v>
      </c>
      <c r="B3" s="159"/>
      <c r="C3" s="159"/>
      <c r="D3" s="160"/>
      <c r="E3" s="161"/>
      <c r="F3" s="161"/>
      <c r="G3" s="161"/>
      <c r="H3" s="161"/>
    </row>
    <row r="4" spans="1:8" x14ac:dyDescent="0.25">
      <c r="A4" s="161" t="s">
        <v>1</v>
      </c>
      <c r="B4" s="161" t="s">
        <v>2</v>
      </c>
      <c r="C4" s="161" t="s">
        <v>3</v>
      </c>
      <c r="D4" s="161" t="s">
        <v>4</v>
      </c>
      <c r="E4" s="161"/>
      <c r="F4" s="161"/>
      <c r="G4" s="161"/>
      <c r="H4" s="161"/>
    </row>
    <row r="5" spans="1:8" x14ac:dyDescent="0.25">
      <c r="A5" s="5">
        <v>42005</v>
      </c>
      <c r="B5" s="6">
        <v>422.8</v>
      </c>
      <c r="C5" s="162">
        <f>MAX(B5:B28)</f>
        <v>596.5</v>
      </c>
      <c r="D5" s="163">
        <f>C5/(1+D6)</f>
        <v>568.09523809523807</v>
      </c>
      <c r="E5" s="161"/>
      <c r="F5" s="161"/>
      <c r="G5" s="161"/>
      <c r="H5" s="161"/>
    </row>
    <row r="6" spans="1:8" ht="15.75" customHeight="1" x14ac:dyDescent="0.25">
      <c r="A6" s="5">
        <v>42036</v>
      </c>
      <c r="B6" s="6">
        <v>533.4</v>
      </c>
      <c r="C6" s="164" t="s">
        <v>87</v>
      </c>
      <c r="D6" s="77">
        <v>0.05</v>
      </c>
      <c r="E6" s="161"/>
      <c r="F6" s="161"/>
      <c r="G6" s="161"/>
      <c r="H6" s="161"/>
    </row>
    <row r="7" spans="1:8" x14ac:dyDescent="0.25">
      <c r="A7" s="5">
        <v>42064</v>
      </c>
      <c r="B7" s="6">
        <v>572</v>
      </c>
      <c r="C7" s="164"/>
      <c r="D7" s="77"/>
      <c r="E7" s="161"/>
      <c r="F7" s="161"/>
      <c r="G7" s="161"/>
      <c r="H7" s="161"/>
    </row>
    <row r="8" spans="1:8" x14ac:dyDescent="0.25">
      <c r="A8" s="5">
        <v>42095</v>
      </c>
      <c r="B8" s="6">
        <v>596.5</v>
      </c>
      <c r="C8" s="164"/>
      <c r="D8" s="77"/>
      <c r="E8" s="161"/>
      <c r="F8" s="161"/>
      <c r="G8" s="161"/>
      <c r="H8" s="161"/>
    </row>
    <row r="9" spans="1:8" x14ac:dyDescent="0.25">
      <c r="A9" s="5">
        <v>42125</v>
      </c>
      <c r="B9" s="6">
        <v>557.29999999999995</v>
      </c>
      <c r="C9" s="165"/>
      <c r="D9" s="166"/>
      <c r="E9" s="161"/>
      <c r="F9" s="161"/>
      <c r="G9" s="161"/>
      <c r="H9" s="161"/>
    </row>
    <row r="10" spans="1:8" x14ac:dyDescent="0.25">
      <c r="A10" s="5">
        <v>42156</v>
      </c>
      <c r="B10" s="6">
        <v>434.9</v>
      </c>
      <c r="C10" s="165"/>
      <c r="D10" s="166"/>
      <c r="E10" s="161"/>
      <c r="F10" s="161"/>
      <c r="G10" s="161"/>
      <c r="H10" s="161"/>
    </row>
    <row r="11" spans="1:8" x14ac:dyDescent="0.25">
      <c r="A11" s="5">
        <v>42186</v>
      </c>
      <c r="B11" s="6">
        <v>432.6</v>
      </c>
      <c r="C11" s="165"/>
      <c r="D11" s="166"/>
      <c r="E11" s="161"/>
      <c r="F11" s="161"/>
      <c r="G11" s="161"/>
      <c r="H11" s="161"/>
    </row>
    <row r="12" spans="1:8" x14ac:dyDescent="0.25">
      <c r="A12" s="5">
        <v>42217</v>
      </c>
      <c r="B12" s="6">
        <v>428.8</v>
      </c>
      <c r="C12" s="166"/>
      <c r="D12" s="166"/>
      <c r="E12" s="161"/>
      <c r="F12" s="161"/>
      <c r="G12" s="161"/>
      <c r="H12" s="161"/>
    </row>
    <row r="13" spans="1:8" x14ac:dyDescent="0.25">
      <c r="A13" s="5">
        <v>42248</v>
      </c>
      <c r="B13" s="6">
        <v>503.1</v>
      </c>
      <c r="C13" s="166"/>
      <c r="D13" s="167"/>
      <c r="E13" s="161"/>
      <c r="F13" s="161"/>
      <c r="G13" s="161"/>
      <c r="H13" s="161"/>
    </row>
    <row r="14" spans="1:8" x14ac:dyDescent="0.25">
      <c r="A14" s="5">
        <v>42278</v>
      </c>
      <c r="B14" s="6">
        <v>463.1</v>
      </c>
      <c r="C14" s="166"/>
      <c r="D14" s="166"/>
      <c r="E14" s="161"/>
      <c r="F14" s="161"/>
      <c r="G14" s="161"/>
      <c r="H14" s="161"/>
    </row>
    <row r="15" spans="1:8" x14ac:dyDescent="0.25">
      <c r="A15" s="5">
        <v>42309</v>
      </c>
      <c r="B15" s="6">
        <v>581.1</v>
      </c>
      <c r="C15" s="166"/>
      <c r="D15" s="166"/>
      <c r="E15" s="161"/>
      <c r="F15" s="161"/>
      <c r="G15" s="161"/>
      <c r="H15" s="161"/>
    </row>
    <row r="16" spans="1:8" x14ac:dyDescent="0.25">
      <c r="A16" s="5">
        <v>42339</v>
      </c>
      <c r="B16" s="6">
        <v>581.1</v>
      </c>
      <c r="C16" s="166"/>
      <c r="D16" s="166"/>
      <c r="E16" s="161"/>
      <c r="F16" s="161"/>
      <c r="G16" s="161"/>
      <c r="H16" s="161"/>
    </row>
    <row r="17" spans="1:8" x14ac:dyDescent="0.25">
      <c r="A17" s="5">
        <v>42370</v>
      </c>
      <c r="B17" s="6">
        <v>439.8</v>
      </c>
      <c r="C17" s="166"/>
      <c r="D17" s="166"/>
      <c r="E17" s="161"/>
      <c r="F17" s="161"/>
      <c r="G17" s="161"/>
      <c r="H17" s="161"/>
    </row>
    <row r="18" spans="1:8" x14ac:dyDescent="0.25">
      <c r="A18" s="5">
        <v>42401</v>
      </c>
      <c r="B18" s="6">
        <v>501.7</v>
      </c>
      <c r="C18" s="166"/>
      <c r="D18" s="166"/>
      <c r="E18" s="161"/>
      <c r="F18" s="161"/>
      <c r="G18" s="161"/>
      <c r="H18" s="161"/>
    </row>
    <row r="19" spans="1:8" x14ac:dyDescent="0.25">
      <c r="A19" s="5">
        <v>42430</v>
      </c>
      <c r="B19" s="6">
        <v>518.4</v>
      </c>
      <c r="C19" s="166"/>
      <c r="D19" s="166"/>
      <c r="E19" s="161"/>
      <c r="F19" s="161"/>
      <c r="G19" s="161"/>
      <c r="H19" s="161"/>
    </row>
    <row r="20" spans="1:8" x14ac:dyDescent="0.25">
      <c r="A20" s="5">
        <v>42461</v>
      </c>
      <c r="B20" s="6">
        <v>535.4</v>
      </c>
      <c r="C20" s="166"/>
      <c r="D20" s="166"/>
      <c r="E20" s="161"/>
      <c r="F20" s="161"/>
      <c r="G20" s="161"/>
      <c r="H20" s="161"/>
    </row>
    <row r="21" spans="1:8" x14ac:dyDescent="0.25">
      <c r="A21" s="5">
        <v>42491</v>
      </c>
      <c r="B21" s="6">
        <v>508</v>
      </c>
      <c r="C21" s="166"/>
      <c r="D21" s="166"/>
      <c r="E21" s="161"/>
      <c r="F21" s="161"/>
      <c r="G21" s="161"/>
      <c r="H21" s="161"/>
    </row>
    <row r="22" spans="1:8" x14ac:dyDescent="0.25">
      <c r="A22" s="5">
        <v>42522</v>
      </c>
      <c r="B22" s="6">
        <v>407.5</v>
      </c>
      <c r="C22" s="166"/>
      <c r="D22" s="166"/>
      <c r="E22" s="161"/>
      <c r="F22" s="161"/>
      <c r="G22" s="161"/>
      <c r="H22" s="161"/>
    </row>
    <row r="23" spans="1:8" x14ac:dyDescent="0.25">
      <c r="A23" s="5">
        <v>42552</v>
      </c>
      <c r="B23" s="6">
        <v>388.2</v>
      </c>
      <c r="C23" s="166"/>
      <c r="D23" s="166"/>
      <c r="E23" s="161"/>
      <c r="F23" s="161"/>
      <c r="G23" s="161"/>
      <c r="H23" s="161"/>
    </row>
    <row r="24" spans="1:8" x14ac:dyDescent="0.25">
      <c r="A24" s="5">
        <v>42583</v>
      </c>
      <c r="B24" s="6">
        <v>368.6</v>
      </c>
      <c r="C24" s="166"/>
      <c r="D24" s="166"/>
      <c r="E24" s="161"/>
      <c r="F24" s="161"/>
      <c r="G24" s="161"/>
      <c r="H24" s="161"/>
    </row>
    <row r="25" spans="1:8" x14ac:dyDescent="0.25">
      <c r="A25" s="5">
        <v>42614</v>
      </c>
      <c r="B25" s="6">
        <v>484.4</v>
      </c>
      <c r="C25" s="166"/>
      <c r="D25" s="166"/>
      <c r="E25" s="161"/>
      <c r="F25" s="161"/>
      <c r="G25" s="161"/>
      <c r="H25" s="161"/>
    </row>
    <row r="26" spans="1:8" x14ac:dyDescent="0.25">
      <c r="A26" s="5">
        <v>42644</v>
      </c>
      <c r="B26" s="6">
        <v>441.9</v>
      </c>
      <c r="C26" s="166"/>
      <c r="D26" s="166"/>
      <c r="E26" s="161"/>
      <c r="F26" s="161"/>
      <c r="G26" s="161"/>
      <c r="H26" s="161"/>
    </row>
    <row r="27" spans="1:8" x14ac:dyDescent="0.25">
      <c r="A27" s="5">
        <v>42675</v>
      </c>
      <c r="B27" s="6">
        <v>526.70000000000005</v>
      </c>
      <c r="C27" s="166"/>
      <c r="D27" s="166"/>
      <c r="E27" s="161"/>
      <c r="F27" s="161"/>
      <c r="G27" s="161"/>
      <c r="H27" s="161"/>
    </row>
    <row r="28" spans="1:8" x14ac:dyDescent="0.25">
      <c r="A28" s="5">
        <v>42705</v>
      </c>
      <c r="B28" s="6">
        <v>520.1</v>
      </c>
      <c r="C28" s="166"/>
      <c r="D28" s="166"/>
      <c r="E28" s="161"/>
      <c r="F28" s="161"/>
      <c r="G28" s="161"/>
      <c r="H28" s="161"/>
    </row>
    <row r="29" spans="1:8" x14ac:dyDescent="0.25">
      <c r="A29" s="161"/>
      <c r="B29" s="161"/>
      <c r="C29" s="161"/>
      <c r="D29" s="161"/>
      <c r="E29" s="161"/>
      <c r="F29" s="161"/>
      <c r="G29" s="161"/>
      <c r="H29" s="161"/>
    </row>
    <row r="30" spans="1:8" x14ac:dyDescent="0.25">
      <c r="A30" s="161"/>
      <c r="B30" s="161"/>
      <c r="C30" s="161"/>
      <c r="D30" s="161"/>
      <c r="E30" s="161"/>
      <c r="F30" s="161"/>
      <c r="G30" s="161"/>
      <c r="H30" s="161"/>
    </row>
    <row r="31" spans="1:8" x14ac:dyDescent="0.25">
      <c r="A31" s="161"/>
      <c r="B31" s="161"/>
      <c r="C31" s="161"/>
      <c r="D31" s="161"/>
      <c r="E31" s="161"/>
      <c r="F31" s="161"/>
      <c r="G31" s="161"/>
      <c r="H31" s="161"/>
    </row>
    <row r="32" spans="1:8" x14ac:dyDescent="0.25">
      <c r="A32" s="161"/>
      <c r="B32" s="161"/>
      <c r="C32" s="161"/>
      <c r="D32" s="161"/>
      <c r="E32" s="161"/>
      <c r="F32" s="161"/>
      <c r="G32" s="161"/>
      <c r="H32" s="161"/>
    </row>
    <row r="33" spans="1:8" x14ac:dyDescent="0.25">
      <c r="A33" s="161"/>
      <c r="B33" s="161"/>
      <c r="C33" s="161"/>
      <c r="D33" s="161"/>
      <c r="E33" s="161"/>
      <c r="F33" s="161"/>
      <c r="G33" s="161"/>
      <c r="H33" s="161"/>
    </row>
    <row r="34" spans="1:8" x14ac:dyDescent="0.25">
      <c r="A34" s="161"/>
      <c r="B34" s="161"/>
      <c r="C34" s="161"/>
      <c r="D34" s="161"/>
      <c r="E34" s="161"/>
      <c r="F34" s="161"/>
      <c r="G34" s="161"/>
      <c r="H34" s="161"/>
    </row>
    <row r="35" spans="1:8" x14ac:dyDescent="0.25">
      <c r="A35" s="161"/>
      <c r="B35" s="161"/>
      <c r="C35" s="161"/>
      <c r="D35" s="161"/>
      <c r="E35" s="161"/>
      <c r="F35" s="161"/>
      <c r="G35" s="161"/>
      <c r="H35" s="161"/>
    </row>
    <row r="36" spans="1:8" x14ac:dyDescent="0.25">
      <c r="A36" s="161"/>
      <c r="B36" s="161"/>
      <c r="C36" s="161"/>
      <c r="D36" s="161"/>
      <c r="E36" s="161"/>
      <c r="F36" s="161"/>
      <c r="G36" s="161"/>
      <c r="H36" s="161"/>
    </row>
    <row r="37" spans="1:8" x14ac:dyDescent="0.25">
      <c r="A37" s="161"/>
      <c r="B37" s="161"/>
      <c r="C37" s="161"/>
      <c r="D37" s="161"/>
      <c r="E37" s="161"/>
      <c r="F37" s="161"/>
      <c r="G37" s="161"/>
      <c r="H37" s="161"/>
    </row>
    <row r="38" spans="1:8" x14ac:dyDescent="0.25">
      <c r="A38" s="161"/>
      <c r="B38" s="161"/>
      <c r="C38" s="161"/>
      <c r="D38" s="161"/>
      <c r="E38" s="161"/>
      <c r="F38" s="161"/>
      <c r="G38" s="161"/>
      <c r="H38" s="161"/>
    </row>
    <row r="39" spans="1:8" x14ac:dyDescent="0.25">
      <c r="A39" s="161"/>
      <c r="B39" s="161"/>
      <c r="C39" s="161"/>
      <c r="D39" s="161"/>
      <c r="E39" s="161"/>
      <c r="F39" s="161"/>
      <c r="G39" s="161"/>
      <c r="H39" s="161"/>
    </row>
    <row r="40" spans="1:8" x14ac:dyDescent="0.25">
      <c r="A40" s="161"/>
      <c r="B40" s="161"/>
      <c r="C40" s="161"/>
      <c r="D40" s="161"/>
      <c r="E40" s="161"/>
      <c r="F40" s="161"/>
      <c r="G40" s="161"/>
      <c r="H40" s="161"/>
    </row>
    <row r="41" spans="1:8" x14ac:dyDescent="0.25">
      <c r="A41" s="161"/>
      <c r="B41" s="161"/>
      <c r="C41" s="161"/>
      <c r="D41" s="161"/>
      <c r="E41" s="161"/>
      <c r="F41" s="161"/>
      <c r="G41" s="161"/>
      <c r="H41" s="161"/>
    </row>
    <row r="42" spans="1:8" x14ac:dyDescent="0.25">
      <c r="A42" s="161"/>
      <c r="B42" s="161"/>
      <c r="C42" s="161"/>
      <c r="D42" s="161"/>
      <c r="E42" s="161"/>
      <c r="F42" s="161"/>
      <c r="G42" s="161"/>
      <c r="H42" s="161"/>
    </row>
    <row r="43" spans="1:8" x14ac:dyDescent="0.25">
      <c r="A43" s="161"/>
      <c r="B43" s="161"/>
      <c r="C43" s="161"/>
      <c r="D43" s="161"/>
      <c r="E43" s="161"/>
      <c r="F43" s="161"/>
      <c r="G43" s="161"/>
      <c r="H43" s="161"/>
    </row>
    <row r="44" spans="1:8" x14ac:dyDescent="0.25">
      <c r="A44" s="161"/>
      <c r="B44" s="161"/>
      <c r="C44" s="161"/>
      <c r="D44" s="161"/>
      <c r="E44" s="161"/>
      <c r="F44" s="161"/>
      <c r="G44" s="161"/>
      <c r="H44" s="161"/>
    </row>
    <row r="45" spans="1:8" x14ac:dyDescent="0.25">
      <c r="A45" s="161"/>
      <c r="B45" s="161"/>
      <c r="C45" s="161"/>
      <c r="D45" s="161"/>
      <c r="E45" s="161"/>
      <c r="F45" s="161"/>
      <c r="G45" s="161"/>
      <c r="H45" s="161"/>
    </row>
    <row r="46" spans="1:8" x14ac:dyDescent="0.25">
      <c r="A46" s="161"/>
      <c r="B46" s="161"/>
      <c r="C46" s="161"/>
      <c r="D46" s="161"/>
      <c r="E46" s="161"/>
      <c r="F46" s="161"/>
      <c r="G46" s="161"/>
      <c r="H46" s="161"/>
    </row>
    <row r="47" spans="1:8" x14ac:dyDescent="0.25">
      <c r="A47" s="161"/>
      <c r="B47" s="161"/>
      <c r="C47" s="161"/>
      <c r="D47" s="161"/>
      <c r="E47" s="161"/>
      <c r="F47" s="161"/>
      <c r="G47" s="161"/>
      <c r="H47" s="161"/>
    </row>
    <row r="48" spans="1:8" x14ac:dyDescent="0.25">
      <c r="A48" s="161"/>
      <c r="B48" s="161"/>
      <c r="C48" s="161"/>
      <c r="D48" s="161"/>
      <c r="E48" s="161"/>
      <c r="F48" s="161"/>
      <c r="G48" s="161"/>
      <c r="H48" s="161"/>
    </row>
    <row r="49" spans="1:8" x14ac:dyDescent="0.25">
      <c r="A49" s="161"/>
      <c r="B49" s="161"/>
      <c r="C49" s="161"/>
      <c r="D49" s="161"/>
      <c r="E49" s="161"/>
      <c r="F49" s="161"/>
      <c r="G49" s="161"/>
      <c r="H49" s="161"/>
    </row>
    <row r="50" spans="1:8" x14ac:dyDescent="0.25">
      <c r="A50" s="161"/>
      <c r="B50" s="161"/>
      <c r="C50" s="161"/>
      <c r="D50" s="161"/>
      <c r="E50" s="161"/>
      <c r="F50" s="161"/>
      <c r="G50" s="161"/>
      <c r="H50" s="161"/>
    </row>
    <row r="51" spans="1:8" x14ac:dyDescent="0.25">
      <c r="A51" s="161"/>
      <c r="B51" s="161"/>
      <c r="C51" s="161"/>
      <c r="D51" s="161"/>
      <c r="E51" s="161"/>
      <c r="F51" s="161"/>
      <c r="G51" s="161"/>
      <c r="H51" s="161"/>
    </row>
    <row r="52" spans="1:8" x14ac:dyDescent="0.25">
      <c r="A52" s="161"/>
      <c r="B52" s="161"/>
      <c r="C52" s="161"/>
      <c r="D52" s="161"/>
      <c r="E52" s="161"/>
      <c r="F52" s="161"/>
      <c r="G52" s="161"/>
      <c r="H52" s="161"/>
    </row>
    <row r="53" spans="1:8" x14ac:dyDescent="0.25">
      <c r="A53" s="161"/>
      <c r="B53" s="161"/>
      <c r="C53" s="161"/>
      <c r="D53" s="161"/>
      <c r="E53" s="161"/>
      <c r="F53" s="161"/>
      <c r="G53" s="161"/>
      <c r="H53" s="161"/>
    </row>
    <row r="54" spans="1:8" x14ac:dyDescent="0.25">
      <c r="A54" s="161"/>
      <c r="B54" s="161"/>
      <c r="C54" s="161"/>
      <c r="D54" s="161"/>
      <c r="E54" s="161"/>
      <c r="F54" s="161"/>
      <c r="G54" s="161"/>
      <c r="H54" s="161"/>
    </row>
    <row r="55" spans="1:8" x14ac:dyDescent="0.25">
      <c r="A55" s="161"/>
      <c r="B55" s="161"/>
      <c r="C55" s="161"/>
      <c r="D55" s="161"/>
      <c r="E55" s="161"/>
      <c r="F55" s="161"/>
      <c r="G55" s="161"/>
      <c r="H55" s="161"/>
    </row>
    <row r="56" spans="1:8" x14ac:dyDescent="0.25">
      <c r="A56" s="161"/>
      <c r="B56" s="161"/>
      <c r="C56" s="161"/>
      <c r="D56" s="161"/>
      <c r="E56" s="161"/>
      <c r="F56" s="161"/>
      <c r="G56" s="161"/>
      <c r="H56" s="161"/>
    </row>
    <row r="57" spans="1:8" x14ac:dyDescent="0.25">
      <c r="A57" s="161"/>
      <c r="B57" s="161"/>
      <c r="C57" s="161"/>
      <c r="D57" s="161"/>
      <c r="E57" s="161"/>
      <c r="F57" s="161"/>
      <c r="G57" s="161"/>
      <c r="H57" s="161"/>
    </row>
    <row r="58" spans="1:8" x14ac:dyDescent="0.25">
      <c r="A58" s="161"/>
      <c r="B58" s="161"/>
      <c r="C58" s="161"/>
      <c r="D58" s="161"/>
      <c r="E58" s="161"/>
      <c r="F58" s="161"/>
      <c r="G58" s="161"/>
      <c r="H58" s="161"/>
    </row>
    <row r="59" spans="1:8" x14ac:dyDescent="0.25">
      <c r="A59" s="161"/>
      <c r="B59" s="161"/>
      <c r="C59" s="161"/>
      <c r="D59" s="161"/>
      <c r="E59" s="161"/>
      <c r="F59" s="161"/>
      <c r="G59" s="161"/>
      <c r="H59" s="161"/>
    </row>
    <row r="60" spans="1:8" x14ac:dyDescent="0.25">
      <c r="A60" s="161"/>
      <c r="B60" s="161"/>
      <c r="C60" s="161"/>
      <c r="D60" s="161"/>
      <c r="E60" s="161"/>
      <c r="F60" s="161"/>
      <c r="G60" s="161"/>
      <c r="H60" s="161"/>
    </row>
    <row r="61" spans="1:8" x14ac:dyDescent="0.25">
      <c r="A61" s="161"/>
      <c r="B61" s="161"/>
      <c r="C61" s="161"/>
      <c r="D61" s="161"/>
      <c r="E61" s="161"/>
      <c r="F61" s="161"/>
      <c r="G61" s="161"/>
      <c r="H61" s="161"/>
    </row>
    <row r="62" spans="1:8" x14ac:dyDescent="0.25">
      <c r="A62" s="161"/>
      <c r="B62" s="161"/>
      <c r="C62" s="161"/>
      <c r="D62" s="161"/>
      <c r="E62" s="161"/>
      <c r="F62" s="161"/>
      <c r="G62" s="161"/>
      <c r="H62" s="161"/>
    </row>
    <row r="63" spans="1:8" x14ac:dyDescent="0.25">
      <c r="A63" s="161"/>
      <c r="B63" s="161"/>
      <c r="C63" s="161"/>
      <c r="D63" s="161"/>
      <c r="E63" s="161"/>
      <c r="F63" s="161"/>
      <c r="G63" s="161"/>
      <c r="H63" s="161"/>
    </row>
    <row r="64" spans="1:8" x14ac:dyDescent="0.25">
      <c r="A64" s="161"/>
      <c r="B64" s="161"/>
      <c r="C64" s="161"/>
      <c r="D64" s="161"/>
      <c r="E64" s="161"/>
      <c r="F64" s="161"/>
      <c r="G64" s="161"/>
      <c r="H64" s="161"/>
    </row>
    <row r="65" spans="1:8" x14ac:dyDescent="0.25">
      <c r="A65" s="161"/>
      <c r="B65" s="161"/>
      <c r="C65" s="161"/>
      <c r="D65" s="161"/>
      <c r="E65" s="161"/>
      <c r="F65" s="161"/>
      <c r="G65" s="161"/>
      <c r="H65" s="161"/>
    </row>
    <row r="66" spans="1:8" x14ac:dyDescent="0.25">
      <c r="A66" s="161"/>
      <c r="B66" s="161"/>
      <c r="C66" s="161"/>
      <c r="D66" s="161"/>
      <c r="E66" s="161"/>
      <c r="F66" s="161"/>
      <c r="G66" s="161"/>
      <c r="H66" s="161"/>
    </row>
    <row r="67" spans="1:8" x14ac:dyDescent="0.25">
      <c r="A67" s="161"/>
      <c r="B67" s="161"/>
      <c r="C67" s="161"/>
      <c r="D67" s="161"/>
      <c r="E67" s="161"/>
      <c r="F67" s="161"/>
      <c r="G67" s="161"/>
      <c r="H67" s="161"/>
    </row>
    <row r="68" spans="1:8" x14ac:dyDescent="0.25">
      <c r="A68" s="161"/>
      <c r="B68" s="161"/>
      <c r="C68" s="161"/>
      <c r="D68" s="161"/>
      <c r="E68" s="161"/>
      <c r="F68" s="161"/>
      <c r="G68" s="161"/>
      <c r="H68" s="161"/>
    </row>
    <row r="69" spans="1:8" x14ac:dyDescent="0.25">
      <c r="A69" s="161"/>
      <c r="B69" s="161"/>
      <c r="C69" s="161"/>
      <c r="D69" s="161"/>
      <c r="E69" s="161"/>
      <c r="F69" s="161"/>
      <c r="G69" s="161"/>
      <c r="H69" s="161"/>
    </row>
    <row r="70" spans="1:8" x14ac:dyDescent="0.25">
      <c r="A70" s="161"/>
      <c r="B70" s="161"/>
      <c r="C70" s="161"/>
      <c r="D70" s="161"/>
      <c r="E70" s="161"/>
      <c r="F70" s="161"/>
      <c r="G70" s="161"/>
      <c r="H70" s="161"/>
    </row>
    <row r="71" spans="1:8" x14ac:dyDescent="0.25">
      <c r="A71" s="161"/>
      <c r="B71" s="161"/>
      <c r="C71" s="161"/>
      <c r="D71" s="161"/>
      <c r="E71" s="161"/>
      <c r="F71" s="161"/>
      <c r="G71" s="161"/>
      <c r="H71" s="161"/>
    </row>
    <row r="72" spans="1:8" x14ac:dyDescent="0.25">
      <c r="A72" s="161"/>
      <c r="B72" s="161"/>
      <c r="C72" s="161"/>
      <c r="D72" s="161"/>
      <c r="E72" s="161"/>
      <c r="F72" s="161"/>
      <c r="G72" s="161"/>
      <c r="H72" s="161"/>
    </row>
    <row r="73" spans="1:8" x14ac:dyDescent="0.25">
      <c r="A73" s="161"/>
      <c r="B73" s="161"/>
      <c r="C73" s="161"/>
      <c r="D73" s="161"/>
      <c r="E73" s="161"/>
      <c r="F73" s="161"/>
      <c r="G73" s="161"/>
      <c r="H73" s="161"/>
    </row>
    <row r="74" spans="1:8" x14ac:dyDescent="0.25">
      <c r="A74" s="161"/>
      <c r="B74" s="161"/>
      <c r="C74" s="161"/>
      <c r="D74" s="161"/>
      <c r="E74" s="161"/>
      <c r="F74" s="161"/>
      <c r="G74" s="161"/>
      <c r="H74" s="161"/>
    </row>
    <row r="75" spans="1:8" x14ac:dyDescent="0.25">
      <c r="A75" s="161"/>
      <c r="B75" s="161"/>
      <c r="C75" s="161"/>
      <c r="D75" s="161"/>
      <c r="E75" s="161"/>
      <c r="F75" s="161"/>
      <c r="G75" s="161"/>
      <c r="H75" s="161"/>
    </row>
    <row r="76" spans="1:8" x14ac:dyDescent="0.25">
      <c r="A76" s="161"/>
      <c r="B76" s="161"/>
      <c r="C76" s="161"/>
      <c r="D76" s="161"/>
      <c r="E76" s="161"/>
      <c r="F76" s="161"/>
      <c r="G76" s="161"/>
      <c r="H76" s="161"/>
    </row>
    <row r="77" spans="1:8" x14ac:dyDescent="0.25">
      <c r="A77" s="161"/>
      <c r="B77" s="161"/>
      <c r="C77" s="161"/>
      <c r="D77" s="161"/>
      <c r="E77" s="161"/>
      <c r="F77" s="161"/>
      <c r="G77" s="161"/>
      <c r="H77" s="161"/>
    </row>
    <row r="78" spans="1:8" x14ac:dyDescent="0.25">
      <c r="A78" s="161"/>
      <c r="B78" s="161"/>
      <c r="C78" s="161"/>
      <c r="D78" s="161"/>
      <c r="E78" s="161"/>
      <c r="F78" s="161"/>
      <c r="G78" s="161"/>
      <c r="H78" s="161"/>
    </row>
    <row r="79" spans="1:8" x14ac:dyDescent="0.25">
      <c r="A79" s="161"/>
      <c r="B79" s="161"/>
      <c r="C79" s="161"/>
      <c r="D79" s="161"/>
      <c r="E79" s="161"/>
      <c r="F79" s="161"/>
      <c r="G79" s="161"/>
      <c r="H79" s="161"/>
    </row>
    <row r="80" spans="1:8" x14ac:dyDescent="0.25">
      <c r="A80" s="161"/>
      <c r="B80" s="161"/>
      <c r="C80" s="161"/>
      <c r="D80" s="161"/>
      <c r="E80" s="161"/>
      <c r="F80" s="161"/>
      <c r="G80" s="161"/>
      <c r="H80" s="161"/>
    </row>
    <row r="81" spans="1:8" x14ac:dyDescent="0.25">
      <c r="A81" s="161"/>
      <c r="B81" s="161"/>
      <c r="C81" s="161"/>
      <c r="D81" s="161"/>
      <c r="E81" s="161"/>
      <c r="F81" s="161"/>
      <c r="G81" s="161"/>
      <c r="H81" s="161"/>
    </row>
    <row r="82" spans="1:8" x14ac:dyDescent="0.25">
      <c r="A82" s="161"/>
      <c r="B82" s="161"/>
      <c r="C82" s="161"/>
      <c r="D82" s="161"/>
      <c r="E82" s="161"/>
      <c r="F82" s="161"/>
      <c r="G82" s="161"/>
      <c r="H82" s="161"/>
    </row>
    <row r="83" spans="1:8" x14ac:dyDescent="0.25">
      <c r="A83" s="161"/>
      <c r="B83" s="161"/>
      <c r="C83" s="161"/>
      <c r="D83" s="161"/>
      <c r="E83" s="161"/>
      <c r="F83" s="161"/>
      <c r="G83" s="161"/>
      <c r="H83" s="161"/>
    </row>
    <row r="84" spans="1:8" x14ac:dyDescent="0.25">
      <c r="A84" s="161"/>
      <c r="B84" s="161"/>
      <c r="C84" s="161"/>
      <c r="D84" s="161"/>
      <c r="E84" s="161"/>
      <c r="F84" s="161"/>
      <c r="G84" s="161"/>
      <c r="H84" s="161"/>
    </row>
    <row r="85" spans="1:8" x14ac:dyDescent="0.25">
      <c r="A85" s="161"/>
      <c r="B85" s="161"/>
      <c r="C85" s="161"/>
      <c r="D85" s="161"/>
      <c r="E85" s="161"/>
      <c r="F85" s="161"/>
      <c r="G85" s="161"/>
      <c r="H85" s="161"/>
    </row>
    <row r="86" spans="1:8" x14ac:dyDescent="0.25">
      <c r="A86" s="161"/>
      <c r="B86" s="161"/>
      <c r="C86" s="161"/>
      <c r="D86" s="161"/>
      <c r="E86" s="161"/>
      <c r="F86" s="161"/>
      <c r="G86" s="161"/>
      <c r="H86" s="161"/>
    </row>
    <row r="87" spans="1:8" x14ac:dyDescent="0.25">
      <c r="A87" s="161"/>
      <c r="B87" s="161"/>
      <c r="C87" s="161"/>
      <c r="D87" s="161"/>
      <c r="E87" s="161"/>
      <c r="F87" s="161"/>
      <c r="G87" s="161"/>
      <c r="H87" s="161"/>
    </row>
    <row r="88" spans="1:8" x14ac:dyDescent="0.25">
      <c r="A88" s="161"/>
      <c r="B88" s="161"/>
      <c r="C88" s="161"/>
      <c r="D88" s="161"/>
      <c r="E88" s="161"/>
      <c r="F88" s="161"/>
      <c r="G88" s="161"/>
      <c r="H88" s="161"/>
    </row>
    <row r="89" spans="1:8" x14ac:dyDescent="0.25">
      <c r="A89" s="161"/>
      <c r="B89" s="161"/>
      <c r="C89" s="161"/>
      <c r="D89" s="161"/>
      <c r="E89" s="161"/>
      <c r="F89" s="161"/>
      <c r="G89" s="161"/>
      <c r="H89" s="161"/>
    </row>
    <row r="90" spans="1:8" x14ac:dyDescent="0.25">
      <c r="A90" s="161"/>
      <c r="B90" s="161"/>
      <c r="C90" s="161"/>
      <c r="D90" s="161"/>
      <c r="E90" s="161"/>
      <c r="F90" s="161"/>
      <c r="G90" s="161"/>
      <c r="H90" s="161"/>
    </row>
    <row r="91" spans="1:8" x14ac:dyDescent="0.25">
      <c r="A91" s="161"/>
      <c r="B91" s="161"/>
      <c r="C91" s="161"/>
      <c r="D91" s="161"/>
      <c r="E91" s="161"/>
      <c r="F91" s="161"/>
      <c r="G91" s="161"/>
      <c r="H91" s="161"/>
    </row>
    <row r="92" spans="1:8" x14ac:dyDescent="0.25">
      <c r="A92" s="161"/>
      <c r="B92" s="161"/>
      <c r="C92" s="161"/>
      <c r="D92" s="161"/>
      <c r="E92" s="161"/>
      <c r="F92" s="161"/>
      <c r="G92" s="161"/>
      <c r="H92" s="161"/>
    </row>
    <row r="93" spans="1:8" x14ac:dyDescent="0.25">
      <c r="A93" s="161"/>
      <c r="B93" s="161"/>
      <c r="C93" s="161"/>
      <c r="D93" s="161"/>
      <c r="E93" s="161"/>
      <c r="F93" s="161"/>
      <c r="G93" s="161"/>
      <c r="H93" s="161"/>
    </row>
    <row r="94" spans="1:8" x14ac:dyDescent="0.25">
      <c r="A94" s="161"/>
      <c r="B94" s="161"/>
      <c r="C94" s="161"/>
      <c r="D94" s="161"/>
      <c r="E94" s="161"/>
      <c r="F94" s="161"/>
      <c r="G94" s="161"/>
      <c r="H94" s="161"/>
    </row>
    <row r="95" spans="1:8" x14ac:dyDescent="0.25">
      <c r="A95" s="161"/>
      <c r="B95" s="161"/>
      <c r="C95" s="161"/>
      <c r="D95" s="161"/>
      <c r="E95" s="161"/>
      <c r="F95" s="161"/>
      <c r="G95" s="161"/>
      <c r="H95" s="161"/>
    </row>
    <row r="96" spans="1:8" x14ac:dyDescent="0.25">
      <c r="A96" s="161"/>
      <c r="B96" s="161"/>
      <c r="C96" s="161"/>
      <c r="D96" s="161"/>
      <c r="E96" s="161"/>
      <c r="F96" s="161"/>
      <c r="G96" s="161"/>
      <c r="H96" s="161"/>
    </row>
    <row r="97" spans="1:8" x14ac:dyDescent="0.25">
      <c r="A97" s="161"/>
      <c r="B97" s="161"/>
      <c r="C97" s="161"/>
      <c r="D97" s="161"/>
      <c r="E97" s="161"/>
      <c r="F97" s="161"/>
      <c r="G97" s="161"/>
      <c r="H97" s="161"/>
    </row>
    <row r="98" spans="1:8" x14ac:dyDescent="0.25">
      <c r="A98" s="161"/>
      <c r="B98" s="161"/>
      <c r="C98" s="161"/>
      <c r="D98" s="161"/>
      <c r="E98" s="161"/>
      <c r="F98" s="161"/>
      <c r="G98" s="161"/>
      <c r="H98" s="161"/>
    </row>
    <row r="99" spans="1:8" x14ac:dyDescent="0.25">
      <c r="A99" s="161"/>
      <c r="B99" s="161"/>
      <c r="C99" s="161"/>
      <c r="D99" s="161"/>
      <c r="E99" s="161"/>
      <c r="F99" s="161"/>
      <c r="G99" s="161"/>
      <c r="H99" s="161"/>
    </row>
    <row r="100" spans="1:8" x14ac:dyDescent="0.25">
      <c r="A100" s="161"/>
      <c r="B100" s="161"/>
      <c r="C100" s="161"/>
      <c r="D100" s="161"/>
      <c r="E100" s="161"/>
      <c r="F100" s="161"/>
      <c r="G100" s="161"/>
      <c r="H100" s="161"/>
    </row>
    <row r="101" spans="1:8" x14ac:dyDescent="0.25">
      <c r="A101" s="161"/>
      <c r="B101" s="161"/>
      <c r="C101" s="161"/>
      <c r="D101" s="161"/>
      <c r="E101" s="161"/>
      <c r="F101" s="161"/>
      <c r="G101" s="161"/>
      <c r="H101" s="161"/>
    </row>
  </sheetData>
  <sheetProtection sheet="1" objects="1" scenarios="1"/>
  <mergeCells count="5">
    <mergeCell ref="A1:D1"/>
    <mergeCell ref="A2:D2"/>
    <mergeCell ref="C6:C8"/>
    <mergeCell ref="D6:D8"/>
    <mergeCell ref="A3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opLeftCell="A7" zoomScaleNormal="100" workbookViewId="0">
      <selection activeCell="B12" sqref="B12"/>
    </sheetView>
  </sheetViews>
  <sheetFormatPr defaultRowHeight="15" x14ac:dyDescent="0.25"/>
  <cols>
    <col min="1" max="1" width="16.7109375" style="161" customWidth="1"/>
    <col min="2" max="2" width="17.7109375" style="161" customWidth="1"/>
    <col min="3" max="3" width="20.140625" style="161" customWidth="1"/>
    <col min="4" max="4" width="20.7109375" style="161" customWidth="1"/>
    <col min="5" max="5" width="26.42578125" style="161" customWidth="1"/>
    <col min="6" max="6" width="19.7109375" style="161" customWidth="1"/>
    <col min="7" max="7" width="18.7109375" style="161" customWidth="1"/>
    <col min="8" max="8" width="24.5703125" style="161" customWidth="1"/>
    <col min="9" max="9" width="22.28515625" style="212" customWidth="1"/>
    <col min="10" max="10" width="21.140625" style="126" customWidth="1"/>
    <col min="11" max="16384" width="9.140625" style="126"/>
  </cols>
  <sheetData>
    <row r="1" spans="1:9" ht="48.75" customHeight="1" x14ac:dyDescent="0.25">
      <c r="A1" s="125"/>
      <c r="B1" s="125"/>
      <c r="C1" s="125"/>
      <c r="D1" s="125"/>
      <c r="E1" s="125"/>
      <c r="F1" s="125"/>
      <c r="G1" s="125"/>
      <c r="H1" s="125"/>
      <c r="I1" s="125"/>
    </row>
    <row r="2" spans="1:9" ht="31.5" customHeight="1" thickBot="1" x14ac:dyDescent="0.3">
      <c r="A2" s="127" t="s">
        <v>83</v>
      </c>
      <c r="B2" s="127"/>
      <c r="C2" s="127"/>
      <c r="D2" s="127"/>
      <c r="E2" s="127"/>
      <c r="F2" s="127"/>
      <c r="G2" s="127"/>
      <c r="H2" s="127"/>
      <c r="I2" s="127"/>
    </row>
    <row r="3" spans="1:9" ht="15.75" thickBot="1" x14ac:dyDescent="0.3">
      <c r="A3" s="168" t="s">
        <v>31</v>
      </c>
      <c r="B3" s="169"/>
      <c r="C3" s="169"/>
      <c r="D3" s="169"/>
      <c r="E3" s="169"/>
      <c r="F3" s="169"/>
      <c r="G3" s="169"/>
      <c r="H3" s="169"/>
      <c r="I3" s="170"/>
    </row>
    <row r="4" spans="1:9" ht="15.75" thickBot="1" x14ac:dyDescent="0.3">
      <c r="A4" s="171"/>
      <c r="B4" s="172" t="s">
        <v>42</v>
      </c>
      <c r="C4" s="173"/>
      <c r="D4" s="174" t="s">
        <v>71</v>
      </c>
      <c r="E4" s="174"/>
      <c r="F4" s="174"/>
      <c r="G4" s="175"/>
      <c r="H4" s="176"/>
      <c r="I4" s="177"/>
    </row>
    <row r="5" spans="1:9" ht="15.75" thickBot="1" x14ac:dyDescent="0.3">
      <c r="A5" s="171"/>
      <c r="B5" s="178"/>
      <c r="C5" s="179"/>
      <c r="D5" s="180" t="s">
        <v>72</v>
      </c>
      <c r="E5" s="180"/>
      <c r="F5" s="180"/>
      <c r="G5" s="181"/>
      <c r="H5" s="176"/>
      <c r="I5" s="177"/>
    </row>
    <row r="6" spans="1:9" ht="15.75" thickBot="1" x14ac:dyDescent="0.3">
      <c r="A6" s="171"/>
      <c r="B6" s="182" t="s">
        <v>85</v>
      </c>
      <c r="C6" s="183" t="s">
        <v>86</v>
      </c>
      <c r="D6" s="183" t="s">
        <v>69</v>
      </c>
      <c r="E6" s="183" t="s">
        <v>81</v>
      </c>
      <c r="F6" s="183" t="s">
        <v>70</v>
      </c>
      <c r="G6" s="184" t="s">
        <v>80</v>
      </c>
      <c r="H6" s="176"/>
      <c r="I6" s="177"/>
    </row>
    <row r="7" spans="1:9" ht="15.75" thickBot="1" x14ac:dyDescent="0.3">
      <c r="A7" s="171"/>
      <c r="B7" s="247">
        <v>540</v>
      </c>
      <c r="C7" s="248">
        <v>480</v>
      </c>
      <c r="D7" s="249">
        <f>23.19*0.85</f>
        <v>19.711500000000001</v>
      </c>
      <c r="E7" s="249">
        <v>46.38</v>
      </c>
      <c r="F7" s="249">
        <f>8.11*0.85</f>
        <v>6.8934999999999995</v>
      </c>
      <c r="G7" s="250">
        <v>16.22</v>
      </c>
      <c r="H7" s="176"/>
      <c r="I7" s="177"/>
    </row>
    <row r="8" spans="1:9" ht="5.25" customHeight="1" thickBot="1" x14ac:dyDescent="0.3">
      <c r="A8" s="185"/>
      <c r="B8" s="186"/>
      <c r="C8" s="187"/>
      <c r="D8" s="187"/>
      <c r="E8" s="187"/>
      <c r="F8" s="188"/>
      <c r="G8" s="189"/>
      <c r="H8" s="177"/>
      <c r="I8" s="177"/>
    </row>
    <row r="9" spans="1:9" x14ac:dyDescent="0.25">
      <c r="A9" s="190" t="s">
        <v>1</v>
      </c>
      <c r="B9" s="191" t="s">
        <v>8</v>
      </c>
      <c r="C9" s="192" t="s">
        <v>6</v>
      </c>
      <c r="D9" s="193" t="s">
        <v>9</v>
      </c>
      <c r="E9" s="191" t="s">
        <v>10</v>
      </c>
      <c r="F9" s="191" t="s">
        <v>11</v>
      </c>
      <c r="G9" s="191" t="s">
        <v>6</v>
      </c>
      <c r="H9" s="191" t="s">
        <v>7</v>
      </c>
      <c r="I9" s="194" t="s">
        <v>12</v>
      </c>
    </row>
    <row r="10" spans="1:9" x14ac:dyDescent="0.25">
      <c r="A10" s="12">
        <v>42370</v>
      </c>
      <c r="B10" s="13">
        <v>422.8</v>
      </c>
      <c r="C10" s="195">
        <f>IF(B10&gt;$B$7,(IF(B10&gt;1.05*$B$7,2,1)),0)</f>
        <v>0</v>
      </c>
      <c r="D10" s="196">
        <f>IF(C10=1,B10*$D$7,$B$7*$D$7)</f>
        <v>10644.210000000001</v>
      </c>
      <c r="E10" s="197">
        <f>IF(C10=2,(B10-$B$7)*$E$7,0)</f>
        <v>0</v>
      </c>
      <c r="F10" s="13">
        <v>439.8</v>
      </c>
      <c r="G10" s="195">
        <f>IF(F10&gt;$C$7,(IF(F10&gt;1.05*$C$7,2,1)),0)</f>
        <v>0</v>
      </c>
      <c r="H10" s="196">
        <f>IF(G10=1,F10*$F$7,$C$7*$F$7)</f>
        <v>3308.8799999999997</v>
      </c>
      <c r="I10" s="198">
        <f>IF(G10=2,(F10-$C$7)*$G$7,0)</f>
        <v>0</v>
      </c>
    </row>
    <row r="11" spans="1:9" x14ac:dyDescent="0.25">
      <c r="A11" s="12">
        <v>42401</v>
      </c>
      <c r="B11" s="13">
        <v>533.4</v>
      </c>
      <c r="C11" s="195">
        <f>IF(B11&gt;$B$7,(IF(B11&gt;1.05*$B$7,2,1)),0)</f>
        <v>0</v>
      </c>
      <c r="D11" s="196">
        <f>IF(C11=1,B11*$D$7,$B$7*$D$7)</f>
        <v>10644.210000000001</v>
      </c>
      <c r="E11" s="197">
        <f>IF(C11=2,(B11-$B$7)*$E$7,0)</f>
        <v>0</v>
      </c>
      <c r="F11" s="13">
        <v>501.7</v>
      </c>
      <c r="G11" s="195">
        <f>IF(F11&gt;$C$7,(IF(F11&gt;1.05*$C$7,2,1)),0)</f>
        <v>1</v>
      </c>
      <c r="H11" s="196">
        <f>IF(G11=1,F11*$F$7,$C$7*$F$7)</f>
        <v>3458.4689499999995</v>
      </c>
      <c r="I11" s="198">
        <f>IF(G11=2,(F11-$C$7)*$G$7,0)</f>
        <v>0</v>
      </c>
    </row>
    <row r="12" spans="1:9" x14ac:dyDescent="0.25">
      <c r="A12" s="12">
        <v>42430</v>
      </c>
      <c r="B12" s="13">
        <v>572</v>
      </c>
      <c r="C12" s="195">
        <f>IF(B12&gt;$B$7,(IF(B12&gt;1.05*$B$7,2,1)),0)</f>
        <v>2</v>
      </c>
      <c r="D12" s="196">
        <f>IF(C12=1,B12*$D$7,$B$7*$D$7)</f>
        <v>10644.210000000001</v>
      </c>
      <c r="E12" s="197">
        <f>IF(C12=2,(B12-$B$7)*$E$7,0)</f>
        <v>1484.16</v>
      </c>
      <c r="F12" s="13">
        <v>518.4</v>
      </c>
      <c r="G12" s="195">
        <f>IF(F12&gt;$C$7,(IF(F12&gt;1.05*$C$7,2,1)),0)</f>
        <v>2</v>
      </c>
      <c r="H12" s="196">
        <f>IF(G12=1,F12*$F$7,$C$7*$F$7)</f>
        <v>3308.8799999999997</v>
      </c>
      <c r="I12" s="198">
        <f>IF(G12=2,(F12-$C$7)*$G$7,0)</f>
        <v>622.84799999999962</v>
      </c>
    </row>
    <row r="13" spans="1:9" x14ac:dyDescent="0.25">
      <c r="A13" s="12">
        <v>42461</v>
      </c>
      <c r="B13" s="13">
        <v>596.5</v>
      </c>
      <c r="C13" s="195">
        <f>IF(B13&gt;$B$7,(IF(B13&gt;1.05*$B$7,2,1)),0)</f>
        <v>2</v>
      </c>
      <c r="D13" s="196">
        <f>IF(C13=1,B13*$D$7,$B$7*$D$7)</f>
        <v>10644.210000000001</v>
      </c>
      <c r="E13" s="197">
        <f>IF(C13=2,(B13-$B$7)*$E$7,0)</f>
        <v>2620.4700000000003</v>
      </c>
      <c r="F13" s="13">
        <v>535.4</v>
      </c>
      <c r="G13" s="195">
        <f>IF(F13&gt;$C$7,(IF(F13&gt;1.05*$C$7,2,1)),0)</f>
        <v>2</v>
      </c>
      <c r="H13" s="196">
        <f>IF(G13=1,F13*$F$7,$C$7*$F$7)</f>
        <v>3308.8799999999997</v>
      </c>
      <c r="I13" s="198">
        <f>IF(G13=2,(F13-$C$7)*$G$7,0)</f>
        <v>898.58799999999962</v>
      </c>
    </row>
    <row r="14" spans="1:9" x14ac:dyDescent="0.25">
      <c r="A14" s="12">
        <v>42491</v>
      </c>
      <c r="B14" s="13">
        <v>557.29999999999995</v>
      </c>
      <c r="C14" s="195">
        <f>IF(B14&gt;$B$7,(IF(B14&gt;1.05*$B$7,2,1)),0)</f>
        <v>1</v>
      </c>
      <c r="D14" s="196">
        <f>IF(C14=1,B14*$D$7,$B$7*$D$7)</f>
        <v>10985.21895</v>
      </c>
      <c r="E14" s="197">
        <f>IF(C14=2,(B14-$B$7)*$E$7,0)</f>
        <v>0</v>
      </c>
      <c r="F14" s="13">
        <v>508</v>
      </c>
      <c r="G14" s="195">
        <f>IF(F14&gt;$C$7,(IF(F14&gt;1.05*$C$7,2,1)),0)</f>
        <v>2</v>
      </c>
      <c r="H14" s="196">
        <f>IF(G14=1,F14*$F$7,$C$7*$F$7)</f>
        <v>3308.8799999999997</v>
      </c>
      <c r="I14" s="198">
        <f>IF(G14=2,(F14-$C$7)*$G$7,0)</f>
        <v>454.15999999999997</v>
      </c>
    </row>
    <row r="15" spans="1:9" x14ac:dyDescent="0.25">
      <c r="A15" s="12">
        <v>42522</v>
      </c>
      <c r="B15" s="13">
        <v>434.9</v>
      </c>
      <c r="C15" s="195">
        <f>IF(B15&gt;$B$7,(IF(B15&gt;1.05*$B$7,2,1)),0)</f>
        <v>0</v>
      </c>
      <c r="D15" s="196">
        <f>IF(C15=1,B15*$D$7,$B$7*$D$7)</f>
        <v>10644.210000000001</v>
      </c>
      <c r="E15" s="197">
        <f>IF(C15=2,(B15-$B$7)*$E$7,0)</f>
        <v>0</v>
      </c>
      <c r="F15" s="13">
        <v>407.5</v>
      </c>
      <c r="G15" s="195">
        <f>IF(F15&gt;$C$7,(IF(F15&gt;1.05*$C$7,2,1)),0)</f>
        <v>0</v>
      </c>
      <c r="H15" s="196">
        <f>IF(G15=1,F15*$F$7,$C$7*$F$7)</f>
        <v>3308.8799999999997</v>
      </c>
      <c r="I15" s="198">
        <f>IF(G15=2,(F15-$C$7)*$G$7,0)</f>
        <v>0</v>
      </c>
    </row>
    <row r="16" spans="1:9" x14ac:dyDescent="0.25">
      <c r="A16" s="12">
        <v>42552</v>
      </c>
      <c r="B16" s="13">
        <v>432.6</v>
      </c>
      <c r="C16" s="195">
        <f>IF(B16&gt;$B$7,(IF(B16&gt;1.05*$B$7,2,1)),0)</f>
        <v>0</v>
      </c>
      <c r="D16" s="196">
        <f>IF(C16=1,B16*$D$7,$B$7*$D$7)</f>
        <v>10644.210000000001</v>
      </c>
      <c r="E16" s="197">
        <f>IF(C16=2,(B16-$B$7)*$E$7,0)</f>
        <v>0</v>
      </c>
      <c r="F16" s="13">
        <v>388.2</v>
      </c>
      <c r="G16" s="195">
        <f>IF(F16&gt;$C$7,(IF(F16&gt;1.05*$C$7,2,1)),0)</f>
        <v>0</v>
      </c>
      <c r="H16" s="196">
        <f>IF(G16=1,F16*$F$7,$C$7*$F$7)</f>
        <v>3308.8799999999997</v>
      </c>
      <c r="I16" s="198">
        <f>IF(G16=2,(F16-$C$7)*$G$7,0)</f>
        <v>0</v>
      </c>
    </row>
    <row r="17" spans="1:13" x14ac:dyDescent="0.25">
      <c r="A17" s="12">
        <v>42583</v>
      </c>
      <c r="B17" s="13">
        <v>428.8</v>
      </c>
      <c r="C17" s="195">
        <f>IF(B17&gt;$B$7,(IF(B17&gt;1.05*$B$7,2,1)),0)</f>
        <v>0</v>
      </c>
      <c r="D17" s="196">
        <f>IF(C17=1,B17*$D$7,$B$7*$D$7)</f>
        <v>10644.210000000001</v>
      </c>
      <c r="E17" s="197">
        <f>IF(C17=2,(B17-$B$7)*$E$7,0)</f>
        <v>0</v>
      </c>
      <c r="F17" s="13">
        <v>368.6</v>
      </c>
      <c r="G17" s="195">
        <f>IF(F17&gt;$C$7,(IF(F17&gt;1.05*$C$7,2,1)),0)</f>
        <v>0</v>
      </c>
      <c r="H17" s="196">
        <f>IF(G17=1,F17*$F$7,$C$7*$F$7)</f>
        <v>3308.8799999999997</v>
      </c>
      <c r="I17" s="198">
        <f>IF(G17=2,(F17-$C$7)*$G$7,0)</f>
        <v>0</v>
      </c>
    </row>
    <row r="18" spans="1:13" x14ac:dyDescent="0.25">
      <c r="A18" s="12">
        <v>42614</v>
      </c>
      <c r="B18" s="13">
        <v>503.1</v>
      </c>
      <c r="C18" s="195">
        <f>IF(B18&gt;$B$7,(IF(B18&gt;1.05*$B$7,2,1)),0)</f>
        <v>0</v>
      </c>
      <c r="D18" s="196">
        <f>IF(C18=1,B18*$D$7,$B$7*$D$7)</f>
        <v>10644.210000000001</v>
      </c>
      <c r="E18" s="197">
        <f>IF(C18=2,(B18-$B$7)*$E$7,0)</f>
        <v>0</v>
      </c>
      <c r="F18" s="13">
        <v>484.4</v>
      </c>
      <c r="G18" s="195">
        <f>IF(F18&gt;$C$7,(IF(F18&gt;1.05*$C$7,2,1)),0)</f>
        <v>1</v>
      </c>
      <c r="H18" s="196">
        <f>IF(G18=1,F18*$F$7,$C$7*$F$7)</f>
        <v>3339.2113999999997</v>
      </c>
      <c r="I18" s="198">
        <f>IF(G18=2,(F18-$C$7)*$G$7,0)</f>
        <v>0</v>
      </c>
    </row>
    <row r="19" spans="1:13" x14ac:dyDescent="0.25">
      <c r="A19" s="12">
        <v>42644</v>
      </c>
      <c r="B19" s="13">
        <v>463.1</v>
      </c>
      <c r="C19" s="195">
        <f>IF(B19&gt;$B$7,(IF(B19&gt;1.05*$B$7,2,1)),0)</f>
        <v>0</v>
      </c>
      <c r="D19" s="196">
        <f>IF(C19=1,B19*$D$7,$B$7*$D$7)</f>
        <v>10644.210000000001</v>
      </c>
      <c r="E19" s="197">
        <f>IF(C19=2,(B19-$B$7)*$E$7,0)</f>
        <v>0</v>
      </c>
      <c r="F19" s="13">
        <v>441.9</v>
      </c>
      <c r="G19" s="195">
        <f>IF(F19&gt;$C$7,(IF(F19&gt;1.05*$C$7,2,1)),0)</f>
        <v>0</v>
      </c>
      <c r="H19" s="196">
        <f>IF(G19=1,F19*$F$7,$C$7*$F$7)</f>
        <v>3308.8799999999997</v>
      </c>
      <c r="I19" s="198">
        <f>IF(G19=2,(F19-$C$7)*$G$7,0)</f>
        <v>0</v>
      </c>
    </row>
    <row r="20" spans="1:13" x14ac:dyDescent="0.25">
      <c r="A20" s="12">
        <v>42675</v>
      </c>
      <c r="B20" s="13">
        <v>581.1</v>
      </c>
      <c r="C20" s="195">
        <f>IF(B20&gt;$B$7,(IF(B20&gt;1.05*$B$7,2,1)),0)</f>
        <v>2</v>
      </c>
      <c r="D20" s="196">
        <f>IF(C20=1,B20*$D$7,$B$7*$D$7)</f>
        <v>10644.210000000001</v>
      </c>
      <c r="E20" s="197">
        <f>IF(C20=2,(B20-$B$7)*$E$7,0)</f>
        <v>1906.2180000000012</v>
      </c>
      <c r="F20" s="13">
        <v>526.70000000000005</v>
      </c>
      <c r="G20" s="195">
        <f>IF(F20&gt;$C$7,(IF(F20&gt;1.05*$C$7,2,1)),0)</f>
        <v>2</v>
      </c>
      <c r="H20" s="196">
        <f>IF(G20=1,F20*$F$7,$C$7*$F$7)</f>
        <v>3308.8799999999997</v>
      </c>
      <c r="I20" s="198">
        <f>IF(G20=2,(F20-$C$7)*$G$7,0)</f>
        <v>757.47400000000073</v>
      </c>
    </row>
    <row r="21" spans="1:13" ht="15.75" thickBot="1" x14ac:dyDescent="0.3">
      <c r="A21" s="14">
        <v>42705</v>
      </c>
      <c r="B21" s="15">
        <v>581.1</v>
      </c>
      <c r="C21" s="199">
        <f>IF(B21&gt;$B$7,(IF(B21&gt;1.05*$B$7,2,1)),0)</f>
        <v>2</v>
      </c>
      <c r="D21" s="200">
        <f>IF(C21=1,B21*$D$7,$B$7*$D$7)</f>
        <v>10644.210000000001</v>
      </c>
      <c r="E21" s="201">
        <f>IF(C21=2,(B21-$B$7)*$E$7,0)</f>
        <v>1906.2180000000012</v>
      </c>
      <c r="F21" s="15">
        <v>520.1</v>
      </c>
      <c r="G21" s="199">
        <f>IF(F21&gt;$C$7,(IF(F21&gt;1.05*$C$7,2,1)),0)</f>
        <v>2</v>
      </c>
      <c r="H21" s="200">
        <f>IF(G21=1,F21*$F$7,$C$7*$F$7)</f>
        <v>3308.8799999999997</v>
      </c>
      <c r="I21" s="202">
        <f>IF(G21=2,(F21-$C$7)*$G$7,0)</f>
        <v>650.42200000000037</v>
      </c>
    </row>
    <row r="22" spans="1:13" ht="15.75" thickBot="1" x14ac:dyDescent="0.3">
      <c r="A22" s="203" t="s">
        <v>88</v>
      </c>
      <c r="B22" s="204"/>
      <c r="C22" s="204"/>
      <c r="D22" s="205">
        <f>SUM(D10:D21)</f>
        <v>128071.52895000004</v>
      </c>
      <c r="E22" s="205">
        <f>SUM(E10:E21)</f>
        <v>7917.0660000000025</v>
      </c>
      <c r="F22" s="206"/>
      <c r="G22" s="206"/>
      <c r="H22" s="205">
        <f>SUM(H10:H21)</f>
        <v>39886.480349999998</v>
      </c>
      <c r="I22" s="207">
        <f>SUM(I10:I21)</f>
        <v>3383.4920000000002</v>
      </c>
    </row>
    <row r="23" spans="1:13" ht="16.5" thickBot="1" x14ac:dyDescent="0.3">
      <c r="A23" s="208"/>
      <c r="B23" s="208"/>
      <c r="C23" s="208"/>
      <c r="D23" s="208"/>
      <c r="E23" s="208"/>
      <c r="F23" s="208"/>
      <c r="G23" s="209" t="s">
        <v>90</v>
      </c>
      <c r="H23" s="210"/>
      <c r="I23" s="211">
        <f>D22+E22+H22+I22</f>
        <v>179258.56730000002</v>
      </c>
    </row>
    <row r="24" spans="1:13" ht="8.25" customHeight="1" x14ac:dyDescent="0.25"/>
    <row r="25" spans="1:13" ht="15.75" thickBot="1" x14ac:dyDescent="0.3">
      <c r="A25" s="213" t="s">
        <v>32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</row>
    <row r="26" spans="1:13" x14ac:dyDescent="0.25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7"/>
      <c r="K26" s="212"/>
    </row>
    <row r="27" spans="1:13" ht="15.75" thickBot="1" x14ac:dyDescent="0.3">
      <c r="A27" s="218" t="s">
        <v>67</v>
      </c>
      <c r="B27" s="219"/>
      <c r="C27" s="219"/>
      <c r="D27" s="219"/>
      <c r="E27" s="219"/>
      <c r="F27" s="219"/>
      <c r="G27" s="219"/>
      <c r="H27" s="219"/>
      <c r="I27" s="219"/>
      <c r="J27" s="220"/>
      <c r="K27" s="212"/>
    </row>
    <row r="28" spans="1:13" x14ac:dyDescent="0.25">
      <c r="A28" s="221" t="s">
        <v>133</v>
      </c>
      <c r="B28" s="222"/>
      <c r="C28" s="222" t="s">
        <v>68</v>
      </c>
      <c r="D28" s="222"/>
      <c r="E28" s="222" t="s">
        <v>103</v>
      </c>
      <c r="F28" s="222"/>
      <c r="G28" s="222" t="s">
        <v>104</v>
      </c>
      <c r="H28" s="222"/>
      <c r="I28" s="222" t="s">
        <v>105</v>
      </c>
      <c r="J28" s="223"/>
      <c r="K28" s="161"/>
      <c r="L28" s="161"/>
      <c r="M28" s="212"/>
    </row>
    <row r="29" spans="1:13" x14ac:dyDescent="0.25">
      <c r="A29" s="182" t="s">
        <v>85</v>
      </c>
      <c r="B29" s="183" t="s">
        <v>86</v>
      </c>
      <c r="C29" s="183" t="s">
        <v>85</v>
      </c>
      <c r="D29" s="183" t="s">
        <v>86</v>
      </c>
      <c r="E29" s="183" t="s">
        <v>85</v>
      </c>
      <c r="F29" s="183" t="s">
        <v>86</v>
      </c>
      <c r="G29" s="183" t="s">
        <v>85</v>
      </c>
      <c r="H29" s="183" t="s">
        <v>86</v>
      </c>
      <c r="I29" s="183" t="s">
        <v>85</v>
      </c>
      <c r="J29" s="184" t="s">
        <v>86</v>
      </c>
      <c r="K29" s="161"/>
      <c r="L29" s="224"/>
      <c r="M29" s="212"/>
    </row>
    <row r="30" spans="1:13" ht="15.75" thickBot="1" x14ac:dyDescent="0.3">
      <c r="A30" s="120">
        <f>(400.57+75.77)</f>
        <v>476.34</v>
      </c>
      <c r="B30" s="121">
        <f>(259.99+75.77)</f>
        <v>335.76</v>
      </c>
      <c r="C30" s="225">
        <f>A30*0.85</f>
        <v>404.88899999999995</v>
      </c>
      <c r="D30" s="225">
        <f>B30*0.85</f>
        <v>285.39599999999996</v>
      </c>
      <c r="E30" s="225">
        <f>(A30+15)*0.85</f>
        <v>417.63899999999995</v>
      </c>
      <c r="F30" s="225">
        <f>(B30+15)*0.85</f>
        <v>298.14599999999996</v>
      </c>
      <c r="G30" s="225">
        <f>(A30+30)*0.85</f>
        <v>430.38899999999995</v>
      </c>
      <c r="H30" s="225">
        <f>(B30+30)*0.85</f>
        <v>310.89599999999996</v>
      </c>
      <c r="I30" s="225">
        <f>(A30+45)*0.85</f>
        <v>443.1389999999999</v>
      </c>
      <c r="J30" s="226">
        <f>(B30+45)*0.85</f>
        <v>323.64599999999996</v>
      </c>
      <c r="K30" s="161"/>
      <c r="L30" s="161"/>
      <c r="M30" s="212"/>
    </row>
    <row r="31" spans="1:13" ht="5.25" customHeight="1" thickBot="1" x14ac:dyDescent="0.3">
      <c r="A31" s="177"/>
      <c r="B31" s="171"/>
      <c r="C31" s="171"/>
      <c r="D31" s="171"/>
      <c r="E31" s="171"/>
      <c r="F31" s="171"/>
      <c r="G31" s="171"/>
      <c r="H31" s="171"/>
      <c r="I31" s="171"/>
      <c r="J31" s="171"/>
      <c r="K31" s="161"/>
      <c r="L31" s="212"/>
    </row>
    <row r="32" spans="1:13" x14ac:dyDescent="0.25">
      <c r="A32" s="177"/>
      <c r="B32" s="171"/>
      <c r="C32" s="190" t="s">
        <v>1</v>
      </c>
      <c r="D32" s="191" t="s">
        <v>65</v>
      </c>
      <c r="E32" s="191" t="s">
        <v>66</v>
      </c>
      <c r="F32" s="191" t="s">
        <v>17</v>
      </c>
      <c r="G32" s="191" t="s">
        <v>18</v>
      </c>
      <c r="H32" s="227" t="s">
        <v>59</v>
      </c>
      <c r="I32" s="177"/>
      <c r="J32" s="228"/>
    </row>
    <row r="33" spans="1:10" x14ac:dyDescent="0.25">
      <c r="A33" s="177"/>
      <c r="B33" s="171"/>
      <c r="C33" s="23">
        <f>A10</f>
        <v>42370</v>
      </c>
      <c r="D33" s="18">
        <v>16671</v>
      </c>
      <c r="E33" s="18">
        <v>94522</v>
      </c>
      <c r="F33" s="229">
        <f t="shared" ref="F33:F44" si="0">IF(H33=1,$C$30,IF(H33=2,$E$30,$I$30))*D33/1000</f>
        <v>6749.9045189999997</v>
      </c>
      <c r="G33" s="229">
        <f t="shared" ref="G33:G44" si="1">IF(H33=1,$D$30,IF(H33=2,$F$30,$J$30))*E33/1000</f>
        <v>26976.200711999998</v>
      </c>
      <c r="H33" s="230">
        <v>1</v>
      </c>
      <c r="I33" s="177"/>
      <c r="J33" s="228"/>
    </row>
    <row r="34" spans="1:10" x14ac:dyDescent="0.25">
      <c r="A34" s="177"/>
      <c r="B34" s="171"/>
      <c r="C34" s="23">
        <f t="shared" ref="C34:C44" si="2">A11</f>
        <v>42401</v>
      </c>
      <c r="D34" s="18">
        <v>18849</v>
      </c>
      <c r="E34" s="18">
        <v>100526</v>
      </c>
      <c r="F34" s="229">
        <f t="shared" si="0"/>
        <v>7631.7527609999988</v>
      </c>
      <c r="G34" s="229">
        <f t="shared" si="1"/>
        <v>28689.718295999995</v>
      </c>
      <c r="H34" s="230">
        <v>1</v>
      </c>
      <c r="I34" s="177"/>
      <c r="J34" s="228"/>
    </row>
    <row r="35" spans="1:10" x14ac:dyDescent="0.25">
      <c r="A35" s="177"/>
      <c r="B35" s="171"/>
      <c r="C35" s="23">
        <f t="shared" si="2"/>
        <v>42430</v>
      </c>
      <c r="D35" s="18">
        <v>27717</v>
      </c>
      <c r="E35" s="18">
        <v>123667</v>
      </c>
      <c r="F35" s="229">
        <f t="shared" si="0"/>
        <v>11222.308412999999</v>
      </c>
      <c r="G35" s="229">
        <f t="shared" si="1"/>
        <v>35294.067131999989</v>
      </c>
      <c r="H35" s="230">
        <v>1</v>
      </c>
      <c r="I35" s="228"/>
      <c r="J35" s="228"/>
    </row>
    <row r="36" spans="1:10" x14ac:dyDescent="0.25">
      <c r="A36" s="177"/>
      <c r="B36" s="171"/>
      <c r="C36" s="23">
        <f t="shared" si="2"/>
        <v>42461</v>
      </c>
      <c r="D36" s="18">
        <v>28467</v>
      </c>
      <c r="E36" s="18">
        <v>124092</v>
      </c>
      <c r="F36" s="229">
        <f t="shared" si="0"/>
        <v>11525.975162999999</v>
      </c>
      <c r="G36" s="229">
        <f t="shared" si="1"/>
        <v>35415.360431999994</v>
      </c>
      <c r="H36" s="230">
        <v>1</v>
      </c>
      <c r="I36" s="228"/>
      <c r="J36" s="228"/>
    </row>
    <row r="37" spans="1:10" x14ac:dyDescent="0.25">
      <c r="A37" s="177"/>
      <c r="B37" s="171"/>
      <c r="C37" s="23">
        <f t="shared" si="2"/>
        <v>42491</v>
      </c>
      <c r="D37" s="18">
        <v>24424</v>
      </c>
      <c r="E37" s="18">
        <v>108540</v>
      </c>
      <c r="F37" s="229">
        <f t="shared" si="0"/>
        <v>9889.0089359999984</v>
      </c>
      <c r="G37" s="229">
        <f t="shared" si="1"/>
        <v>30976.881839999995</v>
      </c>
      <c r="H37" s="230">
        <v>1</v>
      </c>
      <c r="I37" s="228"/>
      <c r="J37" s="228"/>
    </row>
    <row r="38" spans="1:10" x14ac:dyDescent="0.25">
      <c r="A38" s="177"/>
      <c r="B38" s="171"/>
      <c r="C38" s="23">
        <f t="shared" si="2"/>
        <v>42522</v>
      </c>
      <c r="D38" s="18">
        <v>23919</v>
      </c>
      <c r="E38" s="18">
        <v>111557</v>
      </c>
      <c r="F38" s="229">
        <f t="shared" si="0"/>
        <v>9684.5399909999978</v>
      </c>
      <c r="G38" s="229">
        <f t="shared" si="1"/>
        <v>31837.921571999996</v>
      </c>
      <c r="H38" s="230">
        <v>1</v>
      </c>
      <c r="I38" s="228"/>
      <c r="J38" s="228"/>
    </row>
    <row r="39" spans="1:10" x14ac:dyDescent="0.25">
      <c r="A39" s="177"/>
      <c r="B39" s="171"/>
      <c r="C39" s="23">
        <f t="shared" si="2"/>
        <v>42552</v>
      </c>
      <c r="D39" s="18">
        <v>18226</v>
      </c>
      <c r="E39" s="18">
        <v>83563</v>
      </c>
      <c r="F39" s="229">
        <f t="shared" si="0"/>
        <v>7379.5069139999987</v>
      </c>
      <c r="G39" s="229">
        <f t="shared" si="1"/>
        <v>23848.545947999995</v>
      </c>
      <c r="H39" s="230">
        <v>1</v>
      </c>
      <c r="I39" s="228"/>
      <c r="J39" s="228"/>
    </row>
    <row r="40" spans="1:10" x14ac:dyDescent="0.25">
      <c r="A40" s="177"/>
      <c r="B40" s="171"/>
      <c r="C40" s="23">
        <f t="shared" si="2"/>
        <v>42583</v>
      </c>
      <c r="D40" s="18">
        <v>15307</v>
      </c>
      <c r="E40" s="18">
        <v>71993</v>
      </c>
      <c r="F40" s="229">
        <f t="shared" si="0"/>
        <v>6197.6359229999998</v>
      </c>
      <c r="G40" s="229">
        <f t="shared" si="1"/>
        <v>20546.514227999996</v>
      </c>
      <c r="H40" s="230">
        <v>1</v>
      </c>
      <c r="I40" s="228"/>
      <c r="J40" s="228"/>
    </row>
    <row r="41" spans="1:10" x14ac:dyDescent="0.25">
      <c r="A41" s="177"/>
      <c r="B41" s="171"/>
      <c r="C41" s="23">
        <f t="shared" si="2"/>
        <v>42614</v>
      </c>
      <c r="D41" s="18">
        <v>24967</v>
      </c>
      <c r="E41" s="18">
        <v>106667</v>
      </c>
      <c r="F41" s="229">
        <f t="shared" si="0"/>
        <v>10108.863662999998</v>
      </c>
      <c r="G41" s="229">
        <f t="shared" si="1"/>
        <v>30442.335131999997</v>
      </c>
      <c r="H41" s="230">
        <v>1</v>
      </c>
      <c r="I41" s="228"/>
      <c r="J41" s="228"/>
    </row>
    <row r="42" spans="1:10" x14ac:dyDescent="0.25">
      <c r="A42" s="177"/>
      <c r="B42" s="171"/>
      <c r="C42" s="23">
        <f t="shared" si="2"/>
        <v>42644</v>
      </c>
      <c r="D42" s="18">
        <v>21130</v>
      </c>
      <c r="E42" s="18">
        <v>92496</v>
      </c>
      <c r="F42" s="229">
        <f t="shared" si="0"/>
        <v>8555.3045699999984</v>
      </c>
      <c r="G42" s="229">
        <f t="shared" si="1"/>
        <v>26397.988415999997</v>
      </c>
      <c r="H42" s="230">
        <v>1</v>
      </c>
      <c r="I42" s="228"/>
      <c r="J42" s="228"/>
    </row>
    <row r="43" spans="1:10" x14ac:dyDescent="0.25">
      <c r="A43" s="177"/>
      <c r="B43" s="171"/>
      <c r="C43" s="23">
        <f t="shared" si="2"/>
        <v>42675</v>
      </c>
      <c r="D43" s="18">
        <v>25514</v>
      </c>
      <c r="E43" s="18">
        <v>105338</v>
      </c>
      <c r="F43" s="229">
        <f t="shared" si="0"/>
        <v>10330.337945999998</v>
      </c>
      <c r="G43" s="229">
        <f t="shared" si="1"/>
        <v>30063.043847999998</v>
      </c>
      <c r="H43" s="230">
        <v>1</v>
      </c>
      <c r="I43" s="228"/>
      <c r="J43" s="228"/>
    </row>
    <row r="44" spans="1:10" ht="15.75" thickBot="1" x14ac:dyDescent="0.3">
      <c r="A44" s="177"/>
      <c r="B44" s="171"/>
      <c r="C44" s="23">
        <f t="shared" si="2"/>
        <v>42705</v>
      </c>
      <c r="D44" s="19">
        <v>26692</v>
      </c>
      <c r="E44" s="19">
        <v>115548</v>
      </c>
      <c r="F44" s="231">
        <f t="shared" si="0"/>
        <v>10807.297187999999</v>
      </c>
      <c r="G44" s="231">
        <f t="shared" si="1"/>
        <v>32976.937007999994</v>
      </c>
      <c r="H44" s="232">
        <v>1</v>
      </c>
      <c r="I44" s="228"/>
      <c r="J44" s="228"/>
    </row>
    <row r="45" spans="1:10" ht="15.75" thickBot="1" x14ac:dyDescent="0.3">
      <c r="A45" s="177"/>
      <c r="B45" s="171"/>
      <c r="C45" s="233" t="s">
        <v>88</v>
      </c>
      <c r="D45" s="234"/>
      <c r="E45" s="234"/>
      <c r="F45" s="235">
        <f>SUM(F33:F44)</f>
        <v>110082.43598699998</v>
      </c>
      <c r="G45" s="235">
        <f>SUM(G33:G44)</f>
        <v>353465.5145639999</v>
      </c>
      <c r="H45" s="236"/>
      <c r="I45" s="228"/>
      <c r="J45" s="228"/>
    </row>
    <row r="46" spans="1:10" s="242" customFormat="1" ht="16.5" thickBot="1" x14ac:dyDescent="0.3">
      <c r="A46" s="237"/>
      <c r="B46" s="237"/>
      <c r="C46" s="238"/>
      <c r="D46" s="239"/>
      <c r="E46" s="239"/>
      <c r="F46" s="209" t="s">
        <v>91</v>
      </c>
      <c r="G46" s="240"/>
      <c r="H46" s="241">
        <f>F45+G45</f>
        <v>463547.95055099984</v>
      </c>
      <c r="I46" s="228"/>
      <c r="J46" s="237"/>
    </row>
    <row r="47" spans="1:10" ht="15.75" thickBot="1" x14ac:dyDescent="0.3">
      <c r="A47" s="243"/>
    </row>
    <row r="48" spans="1:10" ht="21.75" thickTop="1" thickBot="1" x14ac:dyDescent="0.35">
      <c r="D48" s="244" t="s">
        <v>20</v>
      </c>
      <c r="E48" s="245"/>
      <c r="F48" s="246">
        <f>H46+I23</f>
        <v>642806.51785099984</v>
      </c>
      <c r="I48" s="161"/>
      <c r="J48" s="212"/>
    </row>
    <row r="49" ht="15.75" thickTop="1" x14ac:dyDescent="0.25"/>
  </sheetData>
  <sheetProtection sheet="1" objects="1" scenarios="1"/>
  <mergeCells count="17">
    <mergeCell ref="F46:G46"/>
    <mergeCell ref="G23:H23"/>
    <mergeCell ref="A28:B28"/>
    <mergeCell ref="A25:J25"/>
    <mergeCell ref="A26:J26"/>
    <mergeCell ref="A27:J27"/>
    <mergeCell ref="C28:D28"/>
    <mergeCell ref="E28:F28"/>
    <mergeCell ref="I28:J28"/>
    <mergeCell ref="G28:H28"/>
    <mergeCell ref="A2:I2"/>
    <mergeCell ref="A1:I1"/>
    <mergeCell ref="A22:C22"/>
    <mergeCell ref="D4:G4"/>
    <mergeCell ref="D5:G5"/>
    <mergeCell ref="A3:I3"/>
    <mergeCell ref="B4:C5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Drop Down 13">
              <controlPr defaultSize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1628775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Drop Down 14">
              <controlPr defaultSize="0" autoLine="0" autoPict="0">
                <anchor moveWithCells="1">
                  <from>
                    <xdr:col>7</xdr:col>
                    <xdr:colOff>9525</xdr:colOff>
                    <xdr:row>33</xdr:row>
                    <xdr:rowOff>0</xdr:rowOff>
                  </from>
                  <to>
                    <xdr:col>8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Drop Down 15">
              <controlPr defaultSize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1628775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Drop Down 16">
              <controlPr defaultSize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1628775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Drop Down 17">
              <controlPr defaultSize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1628775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Drop Down 18">
              <controlPr defaultSize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7</xdr:col>
                    <xdr:colOff>1628775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0" name="Drop Down 20">
              <controlPr defaultSize="0" autoLine="0" autoPict="0">
                <anchor moveWithCells="1">
                  <from>
                    <xdr:col>7</xdr:col>
                    <xdr:colOff>9525</xdr:colOff>
                    <xdr:row>39</xdr:row>
                    <xdr:rowOff>0</xdr:rowOff>
                  </from>
                  <to>
                    <xdr:col>7</xdr:col>
                    <xdr:colOff>1628775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1" name="Drop Down 21">
              <controlPr defaultSize="0" autoLine="0" autoPict="0">
                <anchor moveWithCells="1">
                  <from>
                    <xdr:col>7</xdr:col>
                    <xdr:colOff>9525</xdr:colOff>
                    <xdr:row>40</xdr:row>
                    <xdr:rowOff>0</xdr:rowOff>
                  </from>
                  <to>
                    <xdr:col>7</xdr:col>
                    <xdr:colOff>1628775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2" name="Drop Down 22">
              <controlPr defaultSize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7</xdr:col>
                    <xdr:colOff>1628775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3" name="Drop Down 23">
              <controlPr defaultSize="0" autoLine="0" autoPict="0">
                <anchor moveWithCells="1">
                  <from>
                    <xdr:col>7</xdr:col>
                    <xdr:colOff>9525</xdr:colOff>
                    <xdr:row>42</xdr:row>
                    <xdr:rowOff>19050</xdr:rowOff>
                  </from>
                  <to>
                    <xdr:col>7</xdr:col>
                    <xdr:colOff>1628775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4" name="Drop Down 24">
              <controlPr defaultSize="0" autoLine="0" autoPict="0">
                <anchor moveWithCells="1">
                  <from>
                    <xdr:col>7</xdr:col>
                    <xdr:colOff>9525</xdr:colOff>
                    <xdr:row>43</xdr:row>
                    <xdr:rowOff>9525</xdr:rowOff>
                  </from>
                  <to>
                    <xdr:col>7</xdr:col>
                    <xdr:colOff>1628775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5" name="Drop Down 25">
              <controlPr defaultSize="0" autoLine="0" autoPict="0">
                <anchor moveWithCells="1">
                  <from>
                    <xdr:col>7</xdr:col>
                    <xdr:colOff>9525</xdr:colOff>
                    <xdr:row>38</xdr:row>
                    <xdr:rowOff>0</xdr:rowOff>
                  </from>
                  <to>
                    <xdr:col>7</xdr:col>
                    <xdr:colOff>1628775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G3" sqref="G3:G4"/>
    </sheetView>
  </sheetViews>
  <sheetFormatPr defaultRowHeight="15" x14ac:dyDescent="0.25"/>
  <cols>
    <col min="1" max="1" width="17.85546875" style="161" customWidth="1"/>
    <col min="2" max="2" width="23.140625" style="161" customWidth="1"/>
    <col min="3" max="3" width="17" style="161" customWidth="1"/>
    <col min="4" max="4" width="25.42578125" style="161" customWidth="1"/>
    <col min="5" max="5" width="25.140625" style="161" customWidth="1"/>
    <col min="6" max="6" width="20" style="161" customWidth="1"/>
    <col min="7" max="7" width="20.140625" style="161" customWidth="1"/>
    <col min="8" max="8" width="28.85546875" style="161" customWidth="1"/>
    <col min="9" max="9" width="23.28515625" style="212" customWidth="1"/>
    <col min="10" max="10" width="25.85546875" style="126" customWidth="1"/>
    <col min="11" max="16384" width="9.140625" style="126"/>
  </cols>
  <sheetData>
    <row r="1" spans="1:9" ht="52.5" customHeight="1" x14ac:dyDescent="0.25">
      <c r="A1" s="125"/>
      <c r="B1" s="125"/>
      <c r="C1" s="125"/>
      <c r="D1" s="125"/>
      <c r="E1" s="125"/>
      <c r="F1" s="251"/>
      <c r="G1" s="251"/>
      <c r="H1" s="251"/>
      <c r="I1" s="251"/>
    </row>
    <row r="2" spans="1:9" ht="29.25" customHeight="1" thickBot="1" x14ac:dyDescent="0.3">
      <c r="A2" s="127" t="s">
        <v>92</v>
      </c>
      <c r="B2" s="125"/>
      <c r="C2" s="125"/>
      <c r="D2" s="125"/>
      <c r="E2" s="125"/>
      <c r="F2" s="251"/>
      <c r="G2" s="251"/>
      <c r="H2" s="251"/>
      <c r="I2" s="251"/>
    </row>
    <row r="3" spans="1:9" ht="15.75" thickBot="1" x14ac:dyDescent="0.3">
      <c r="A3" s="252" t="s">
        <v>33</v>
      </c>
      <c r="B3" s="253"/>
      <c r="C3" s="253"/>
      <c r="D3" s="253"/>
      <c r="E3" s="254"/>
      <c r="F3" s="214"/>
      <c r="G3" s="214"/>
      <c r="H3" s="214"/>
      <c r="I3" s="214"/>
    </row>
    <row r="4" spans="1:9" x14ac:dyDescent="0.25">
      <c r="A4" s="255" t="s">
        <v>42</v>
      </c>
      <c r="B4" s="256"/>
      <c r="C4" s="257"/>
      <c r="D4" s="258" t="s">
        <v>5</v>
      </c>
      <c r="E4" s="259"/>
      <c r="G4" s="214"/>
      <c r="H4" s="214"/>
      <c r="I4" s="260"/>
    </row>
    <row r="5" spans="1:9" x14ac:dyDescent="0.25">
      <c r="A5" s="261" t="s">
        <v>63</v>
      </c>
      <c r="B5" s="262"/>
      <c r="C5" s="263"/>
      <c r="D5" s="264" t="s">
        <v>123</v>
      </c>
      <c r="E5" s="265"/>
      <c r="G5" s="214"/>
      <c r="H5" s="214"/>
      <c r="I5" s="260"/>
    </row>
    <row r="6" spans="1:9" x14ac:dyDescent="0.25">
      <c r="A6" s="266" t="s">
        <v>58</v>
      </c>
      <c r="B6" s="267"/>
      <c r="C6" s="268"/>
      <c r="D6" s="269" t="s">
        <v>75</v>
      </c>
      <c r="E6" s="270" t="s">
        <v>79</v>
      </c>
      <c r="G6" s="271"/>
      <c r="H6" s="271"/>
      <c r="I6" s="260"/>
    </row>
    <row r="7" spans="1:9" ht="15.75" thickBot="1" x14ac:dyDescent="0.3">
      <c r="A7" s="122">
        <v>540</v>
      </c>
      <c r="B7" s="123"/>
      <c r="C7" s="124"/>
      <c r="D7" s="21">
        <f>8.11*0.85</f>
        <v>6.8934999999999995</v>
      </c>
      <c r="E7" s="22">
        <f>D7*2</f>
        <v>13.786999999999999</v>
      </c>
      <c r="G7" s="272"/>
      <c r="H7" s="272"/>
      <c r="I7" s="260"/>
    </row>
    <row r="8" spans="1:9" x14ac:dyDescent="0.25">
      <c r="A8" s="273" t="s">
        <v>1</v>
      </c>
      <c r="B8" s="274" t="s">
        <v>2</v>
      </c>
      <c r="C8" s="275" t="s">
        <v>6</v>
      </c>
      <c r="D8" s="276" t="s">
        <v>21</v>
      </c>
      <c r="E8" s="277" t="s">
        <v>22</v>
      </c>
      <c r="F8" s="278"/>
      <c r="G8" s="278"/>
      <c r="H8" s="278"/>
      <c r="I8" s="278"/>
    </row>
    <row r="9" spans="1:9" x14ac:dyDescent="0.25">
      <c r="A9" s="23">
        <f>'Modalidade Azul'!A10</f>
        <v>42370</v>
      </c>
      <c r="B9" s="279">
        <f>MAX('Modalidade Azul'!B10,'Modalidade Azul'!F10)</f>
        <v>439.8</v>
      </c>
      <c r="C9" s="280">
        <f>IF(B9&gt;$A$7,(IF(B9&gt;1.05*$A$7,2,1)),0)</f>
        <v>0</v>
      </c>
      <c r="D9" s="281">
        <f>IF(C9=1,B9*$D$7,$A$7*$D$7)</f>
        <v>3722.49</v>
      </c>
      <c r="E9" s="282">
        <f>IF(C9=2,(B9-$A$7)*$E$7,0)</f>
        <v>0</v>
      </c>
      <c r="F9" s="283"/>
      <c r="G9" s="284"/>
      <c r="H9" s="285"/>
      <c r="I9" s="272"/>
    </row>
    <row r="10" spans="1:9" x14ac:dyDescent="0.25">
      <c r="A10" s="23">
        <f>'Modalidade Azul'!A11</f>
        <v>42401</v>
      </c>
      <c r="B10" s="279">
        <f>MAX('Modalidade Azul'!B11,'Modalidade Azul'!F11)</f>
        <v>533.4</v>
      </c>
      <c r="C10" s="280">
        <f t="shared" ref="C10:C20" si="0">IF(B10&gt;$A$7,(IF(B10&gt;1.05*$A$7,2,1)),0)</f>
        <v>0</v>
      </c>
      <c r="D10" s="281">
        <f t="shared" ref="D10:D12" si="1">IF(C10=1,B10*$D$7,$A$7*$D$7)</f>
        <v>3722.49</v>
      </c>
      <c r="E10" s="282">
        <f t="shared" ref="E10:E12" si="2">IF(C10=2,(B10-$A$7)*$E$7,0)</f>
        <v>0</v>
      </c>
      <c r="F10" s="283"/>
      <c r="G10" s="284"/>
      <c r="H10" s="285"/>
      <c r="I10" s="272"/>
    </row>
    <row r="11" spans="1:9" x14ac:dyDescent="0.25">
      <c r="A11" s="23">
        <f>'Modalidade Azul'!A12</f>
        <v>42430</v>
      </c>
      <c r="B11" s="279">
        <f>MAX('Modalidade Azul'!B12,'Modalidade Azul'!F12)</f>
        <v>572</v>
      </c>
      <c r="C11" s="280">
        <f t="shared" si="0"/>
        <v>2</v>
      </c>
      <c r="D11" s="281">
        <f t="shared" si="1"/>
        <v>3722.49</v>
      </c>
      <c r="E11" s="282">
        <f t="shared" si="2"/>
        <v>441.18399999999997</v>
      </c>
      <c r="F11" s="283"/>
      <c r="G11" s="284"/>
      <c r="H11" s="285"/>
      <c r="I11" s="272"/>
    </row>
    <row r="12" spans="1:9" x14ac:dyDescent="0.25">
      <c r="A12" s="23">
        <f>'Modalidade Azul'!A13</f>
        <v>42461</v>
      </c>
      <c r="B12" s="279">
        <f>MAX('Modalidade Azul'!B13,'Modalidade Azul'!F13)</f>
        <v>596.5</v>
      </c>
      <c r="C12" s="280">
        <f t="shared" si="0"/>
        <v>2</v>
      </c>
      <c r="D12" s="281">
        <f t="shared" si="1"/>
        <v>3722.49</v>
      </c>
      <c r="E12" s="282">
        <f t="shared" si="2"/>
        <v>778.96549999999991</v>
      </c>
      <c r="F12" s="283"/>
      <c r="G12" s="284"/>
      <c r="H12" s="285"/>
      <c r="I12" s="272"/>
    </row>
    <row r="13" spans="1:9" x14ac:dyDescent="0.25">
      <c r="A13" s="23">
        <f>'Modalidade Azul'!A14</f>
        <v>42491</v>
      </c>
      <c r="B13" s="279">
        <f>MAX('Modalidade Azul'!B14,'Modalidade Azul'!F14)</f>
        <v>557.29999999999995</v>
      </c>
      <c r="C13" s="280">
        <f t="shared" si="0"/>
        <v>1</v>
      </c>
      <c r="D13" s="281">
        <f>IF(C13=1,B13*$D$7,$B$7*$D$7)</f>
        <v>3841.7475499999996</v>
      </c>
      <c r="E13" s="282">
        <f>IF(C13=2,(B13-$B$7)*$E$7,0)</f>
        <v>0</v>
      </c>
      <c r="F13" s="283"/>
      <c r="G13" s="284"/>
      <c r="H13" s="285"/>
      <c r="I13" s="272"/>
    </row>
    <row r="14" spans="1:9" x14ac:dyDescent="0.25">
      <c r="A14" s="23">
        <f>'Modalidade Azul'!A15</f>
        <v>42522</v>
      </c>
      <c r="B14" s="279">
        <f>MAX('Modalidade Azul'!B15,'Modalidade Azul'!F15)</f>
        <v>434.9</v>
      </c>
      <c r="C14" s="280">
        <f t="shared" si="0"/>
        <v>0</v>
      </c>
      <c r="D14" s="281">
        <f t="shared" ref="D14:D19" si="3">IF(C14=1,B14*$D$7,$B$7*$D$7)</f>
        <v>0</v>
      </c>
      <c r="E14" s="282">
        <f t="shared" ref="E14:E19" si="4">IF(C14=2,(B14-$B$7)*$E$7,0)</f>
        <v>0</v>
      </c>
      <c r="F14" s="283"/>
      <c r="G14" s="284"/>
      <c r="H14" s="285"/>
      <c r="I14" s="272"/>
    </row>
    <row r="15" spans="1:9" x14ac:dyDescent="0.25">
      <c r="A15" s="23">
        <f>'Modalidade Azul'!A16</f>
        <v>42552</v>
      </c>
      <c r="B15" s="279">
        <f>MAX('Modalidade Azul'!B16,'Modalidade Azul'!F16)</f>
        <v>432.6</v>
      </c>
      <c r="C15" s="280">
        <f t="shared" si="0"/>
        <v>0</v>
      </c>
      <c r="D15" s="281">
        <f t="shared" si="3"/>
        <v>0</v>
      </c>
      <c r="E15" s="282">
        <f t="shared" si="4"/>
        <v>0</v>
      </c>
      <c r="F15" s="283"/>
      <c r="G15" s="284"/>
      <c r="H15" s="285"/>
      <c r="I15" s="272"/>
    </row>
    <row r="16" spans="1:9" x14ac:dyDescent="0.25">
      <c r="A16" s="23">
        <f>'Modalidade Azul'!A17</f>
        <v>42583</v>
      </c>
      <c r="B16" s="279">
        <f>MAX('Modalidade Azul'!B17,'Modalidade Azul'!F17)</f>
        <v>428.8</v>
      </c>
      <c r="C16" s="280">
        <f t="shared" si="0"/>
        <v>0</v>
      </c>
      <c r="D16" s="281">
        <f t="shared" si="3"/>
        <v>0</v>
      </c>
      <c r="E16" s="282">
        <f t="shared" si="4"/>
        <v>0</v>
      </c>
      <c r="F16" s="283"/>
      <c r="G16" s="284"/>
      <c r="H16" s="285"/>
      <c r="I16" s="272"/>
    </row>
    <row r="17" spans="1:13" x14ac:dyDescent="0.25">
      <c r="A17" s="23">
        <f>'Modalidade Azul'!A18</f>
        <v>42614</v>
      </c>
      <c r="B17" s="279">
        <f>MAX('Modalidade Azul'!B18,'Modalidade Azul'!F18)</f>
        <v>503.1</v>
      </c>
      <c r="C17" s="280">
        <f t="shared" si="0"/>
        <v>0</v>
      </c>
      <c r="D17" s="281">
        <f t="shared" si="3"/>
        <v>0</v>
      </c>
      <c r="E17" s="282">
        <f t="shared" si="4"/>
        <v>0</v>
      </c>
      <c r="F17" s="283"/>
      <c r="G17" s="284"/>
      <c r="H17" s="285"/>
      <c r="I17" s="272"/>
    </row>
    <row r="18" spans="1:13" x14ac:dyDescent="0.25">
      <c r="A18" s="23">
        <f>'Modalidade Azul'!A19</f>
        <v>42644</v>
      </c>
      <c r="B18" s="279">
        <f>MAX('Modalidade Azul'!B19,'Modalidade Azul'!F19)</f>
        <v>463.1</v>
      </c>
      <c r="C18" s="280">
        <f t="shared" si="0"/>
        <v>0</v>
      </c>
      <c r="D18" s="281">
        <f t="shared" si="3"/>
        <v>0</v>
      </c>
      <c r="E18" s="282">
        <f t="shared" si="4"/>
        <v>0</v>
      </c>
      <c r="F18" s="283"/>
      <c r="G18" s="284"/>
      <c r="H18" s="285"/>
      <c r="I18" s="272"/>
    </row>
    <row r="19" spans="1:13" x14ac:dyDescent="0.25">
      <c r="A19" s="23">
        <f>'Modalidade Azul'!A20</f>
        <v>42675</v>
      </c>
      <c r="B19" s="279">
        <f>MAX('Modalidade Azul'!B20,'Modalidade Azul'!F20)</f>
        <v>581.1</v>
      </c>
      <c r="C19" s="280">
        <f t="shared" si="0"/>
        <v>2</v>
      </c>
      <c r="D19" s="281">
        <f t="shared" si="3"/>
        <v>0</v>
      </c>
      <c r="E19" s="282">
        <f t="shared" si="4"/>
        <v>8011.6256999999996</v>
      </c>
      <c r="F19" s="283"/>
      <c r="G19" s="284"/>
      <c r="H19" s="285"/>
      <c r="I19" s="272"/>
    </row>
    <row r="20" spans="1:13" ht="15.75" thickBot="1" x14ac:dyDescent="0.3">
      <c r="A20" s="23">
        <f>'Modalidade Azul'!A21</f>
        <v>42705</v>
      </c>
      <c r="B20" s="286">
        <f>MAX('Modalidade Azul'!B21,'Modalidade Azul'!F21)</f>
        <v>581.1</v>
      </c>
      <c r="C20" s="287">
        <f t="shared" si="0"/>
        <v>2</v>
      </c>
      <c r="D20" s="288">
        <f>IF(C20=1,B20*$D$7,$A$7*$D$7)</f>
        <v>3722.49</v>
      </c>
      <c r="E20" s="289">
        <f>IF(C20=2,(B20-$A$7)*$E$7,0)</f>
        <v>566.64570000000026</v>
      </c>
      <c r="F20" s="283"/>
      <c r="G20" s="284"/>
      <c r="H20" s="285"/>
      <c r="I20" s="272"/>
    </row>
    <row r="21" spans="1:13" ht="15.75" thickBot="1" x14ac:dyDescent="0.3">
      <c r="A21" s="290" t="s">
        <v>93</v>
      </c>
      <c r="B21" s="291"/>
      <c r="C21" s="292"/>
      <c r="D21" s="293">
        <f>SUM(D9:D20)</f>
        <v>22454.197549999997</v>
      </c>
      <c r="E21" s="294">
        <f>SUM(E9:E20)</f>
        <v>9798.420900000001</v>
      </c>
      <c r="F21" s="295"/>
      <c r="G21" s="295"/>
      <c r="H21" s="296"/>
      <c r="I21" s="296"/>
    </row>
    <row r="22" spans="1:13" s="302" customFormat="1" ht="16.5" thickBot="1" x14ac:dyDescent="0.3">
      <c r="A22" s="297"/>
      <c r="B22" s="297"/>
      <c r="C22" s="298" t="s">
        <v>90</v>
      </c>
      <c r="D22" s="299"/>
      <c r="E22" s="300">
        <f>D21+E21</f>
        <v>32252.618449999998</v>
      </c>
      <c r="F22" s="301"/>
      <c r="G22" s="301"/>
      <c r="H22" s="301"/>
    </row>
    <row r="23" spans="1:13" ht="15.75" thickBot="1" x14ac:dyDescent="0.3">
      <c r="A23" s="303"/>
      <c r="B23" s="303"/>
      <c r="C23" s="303"/>
      <c r="D23" s="303"/>
      <c r="E23" s="303"/>
      <c r="F23" s="303"/>
      <c r="G23" s="303"/>
      <c r="H23" s="303"/>
    </row>
    <row r="24" spans="1:13" x14ac:dyDescent="0.25">
      <c r="A24" s="340" t="s">
        <v>34</v>
      </c>
      <c r="B24" s="341"/>
      <c r="C24" s="341"/>
      <c r="D24" s="341"/>
      <c r="E24" s="341"/>
      <c r="F24" s="341"/>
      <c r="G24" s="341"/>
      <c r="H24" s="341"/>
      <c r="I24" s="341"/>
      <c r="J24" s="342"/>
    </row>
    <row r="25" spans="1:13" x14ac:dyDescent="0.25">
      <c r="A25" s="261" t="s">
        <v>16</v>
      </c>
      <c r="B25" s="262"/>
      <c r="C25" s="262"/>
      <c r="D25" s="262"/>
      <c r="E25" s="262"/>
      <c r="F25" s="262"/>
      <c r="G25" s="262"/>
      <c r="H25" s="262"/>
      <c r="I25" s="262"/>
      <c r="J25" s="343"/>
    </row>
    <row r="26" spans="1:13" ht="15.75" thickBot="1" x14ac:dyDescent="0.3">
      <c r="A26" s="344" t="s">
        <v>73</v>
      </c>
      <c r="B26" s="345"/>
      <c r="C26" s="345"/>
      <c r="D26" s="345"/>
      <c r="E26" s="345"/>
      <c r="F26" s="345"/>
      <c r="G26" s="345"/>
      <c r="H26" s="345"/>
      <c r="I26" s="345"/>
      <c r="J26" s="346"/>
    </row>
    <row r="27" spans="1:13" x14ac:dyDescent="0.25">
      <c r="A27" s="347" t="s">
        <v>134</v>
      </c>
      <c r="B27" s="258"/>
      <c r="C27" s="258" t="s">
        <v>74</v>
      </c>
      <c r="D27" s="258"/>
      <c r="E27" s="258" t="s">
        <v>100</v>
      </c>
      <c r="F27" s="258"/>
      <c r="G27" s="258" t="s">
        <v>101</v>
      </c>
      <c r="H27" s="258"/>
      <c r="I27" s="258" t="s">
        <v>102</v>
      </c>
      <c r="J27" s="259"/>
      <c r="K27" s="161"/>
      <c r="L27" s="161"/>
      <c r="M27" s="212"/>
    </row>
    <row r="28" spans="1:13" x14ac:dyDescent="0.25">
      <c r="A28" s="304" t="s">
        <v>85</v>
      </c>
      <c r="B28" s="305" t="s">
        <v>86</v>
      </c>
      <c r="C28" s="305" t="s">
        <v>85</v>
      </c>
      <c r="D28" s="305" t="s">
        <v>86</v>
      </c>
      <c r="E28" s="305" t="s">
        <v>85</v>
      </c>
      <c r="F28" s="305" t="s">
        <v>86</v>
      </c>
      <c r="G28" s="305" t="s">
        <v>85</v>
      </c>
      <c r="H28" s="305" t="s">
        <v>86</v>
      </c>
      <c r="I28" s="305" t="s">
        <v>85</v>
      </c>
      <c r="J28" s="306" t="s">
        <v>86</v>
      </c>
      <c r="K28" s="161"/>
      <c r="L28" s="224"/>
      <c r="M28" s="212"/>
    </row>
    <row r="29" spans="1:13" ht="15.75" thickBot="1" x14ac:dyDescent="0.3">
      <c r="A29" s="350">
        <f>(400.57+637.88)</f>
        <v>1038.45</v>
      </c>
      <c r="B29" s="351">
        <f>(400.57+259.99)</f>
        <v>660.56</v>
      </c>
      <c r="C29" s="348">
        <f>A29*0.85</f>
        <v>882.6825</v>
      </c>
      <c r="D29" s="348">
        <f>B29*0.85</f>
        <v>561.47599999999989</v>
      </c>
      <c r="E29" s="348">
        <f>(A29+15)*0.85</f>
        <v>895.4325</v>
      </c>
      <c r="F29" s="348">
        <f>(B29+15)*0.85</f>
        <v>574.22599999999989</v>
      </c>
      <c r="G29" s="348">
        <f>(A29+30)*0.85</f>
        <v>908.1825</v>
      </c>
      <c r="H29" s="348">
        <f>(B29+30)*0.85</f>
        <v>586.97599999999989</v>
      </c>
      <c r="I29" s="348">
        <f>(A29+45)*0.85</f>
        <v>920.9325</v>
      </c>
      <c r="J29" s="349">
        <f>(B29+45)*0.85</f>
        <v>599.72599999999989</v>
      </c>
      <c r="K29" s="161"/>
      <c r="L29" s="161"/>
      <c r="M29" s="212"/>
    </row>
    <row r="30" spans="1:13" ht="6.75" customHeight="1" thickBot="1" x14ac:dyDescent="0.3">
      <c r="A30" s="337"/>
      <c r="B30" s="307"/>
      <c r="C30" s="308"/>
      <c r="D30" s="308"/>
      <c r="E30" s="309"/>
      <c r="F30" s="308"/>
      <c r="G30" s="309"/>
      <c r="H30" s="310"/>
      <c r="I30" s="307"/>
      <c r="J30" s="311"/>
      <c r="K30" s="161"/>
      <c r="L30" s="212"/>
    </row>
    <row r="31" spans="1:13" x14ac:dyDescent="0.25">
      <c r="A31" s="337"/>
      <c r="B31" s="311"/>
      <c r="C31" s="273" t="s">
        <v>1</v>
      </c>
      <c r="D31" s="274" t="s">
        <v>65</v>
      </c>
      <c r="E31" s="274" t="s">
        <v>66</v>
      </c>
      <c r="F31" s="274" t="s">
        <v>17</v>
      </c>
      <c r="G31" s="274" t="s">
        <v>18</v>
      </c>
      <c r="H31" s="312" t="s">
        <v>59</v>
      </c>
      <c r="I31" s="311"/>
      <c r="J31" s="338"/>
    </row>
    <row r="32" spans="1:13" x14ac:dyDescent="0.25">
      <c r="A32" s="337"/>
      <c r="B32" s="311"/>
      <c r="C32" s="24">
        <f>'Modalidade Azul'!C33</f>
        <v>42370</v>
      </c>
      <c r="D32" s="313">
        <f>'Modalidade Azul'!D33</f>
        <v>16671</v>
      </c>
      <c r="E32" s="313">
        <f>'Modalidade Azul'!E33</f>
        <v>94522</v>
      </c>
      <c r="F32" s="314">
        <f>IF(G32=1,$C$29,IF(G32=2,$E$29,IF(G32=3,$G$29,$I$29)))*D32/1000</f>
        <v>15352.865707499999</v>
      </c>
      <c r="G32" s="314">
        <f>IF(H32=1,$D$29,IF(H32=2,$F$29,IF(H32=3,$H$29,$J$29)))*E32/1000</f>
        <v>53071.834471999988</v>
      </c>
      <c r="H32" s="315">
        <v>1</v>
      </c>
      <c r="I32" s="316"/>
      <c r="J32" s="338"/>
    </row>
    <row r="33" spans="1:10" x14ac:dyDescent="0.25">
      <c r="A33" s="337"/>
      <c r="B33" s="311"/>
      <c r="C33" s="24">
        <f>'Modalidade Azul'!C34</f>
        <v>42401</v>
      </c>
      <c r="D33" s="313">
        <f>'Modalidade Azul'!D34</f>
        <v>18849</v>
      </c>
      <c r="E33" s="313">
        <f>'Modalidade Azul'!E34</f>
        <v>100526</v>
      </c>
      <c r="F33" s="314">
        <f t="shared" ref="F33:F43" si="5">IF(G33=1,$C$29,IF(G33=2,$E$29,IF(G33=3,$G$29,$I$29)))*D33/1000</f>
        <v>17358.656692500001</v>
      </c>
      <c r="G33" s="314">
        <f t="shared" ref="G33:G42" si="6">IF(H33=1,$D$29,IF(H33=2,$F$29,IF(H33=3,$H$29,$J$29)))*E33/1000</f>
        <v>56442.936375999991</v>
      </c>
      <c r="H33" s="315">
        <v>1</v>
      </c>
      <c r="I33" s="311"/>
      <c r="J33" s="338"/>
    </row>
    <row r="34" spans="1:10" x14ac:dyDescent="0.25">
      <c r="A34" s="337"/>
      <c r="B34" s="311"/>
      <c r="C34" s="24">
        <f>'Modalidade Azul'!C35</f>
        <v>42430</v>
      </c>
      <c r="D34" s="313">
        <f>'Modalidade Azul'!D35</f>
        <v>27717</v>
      </c>
      <c r="E34" s="313">
        <f>'Modalidade Azul'!E35</f>
        <v>123667</v>
      </c>
      <c r="F34" s="314">
        <f t="shared" si="5"/>
        <v>25525.486102499999</v>
      </c>
      <c r="G34" s="314">
        <f t="shared" si="6"/>
        <v>69436.052491999988</v>
      </c>
      <c r="H34" s="315">
        <v>1</v>
      </c>
      <c r="I34" s="311"/>
      <c r="J34" s="339"/>
    </row>
    <row r="35" spans="1:10" x14ac:dyDescent="0.25">
      <c r="A35" s="337"/>
      <c r="B35" s="311"/>
      <c r="C35" s="24">
        <f>'Modalidade Azul'!C36</f>
        <v>42461</v>
      </c>
      <c r="D35" s="313">
        <f>'Modalidade Azul'!D36</f>
        <v>28467</v>
      </c>
      <c r="E35" s="313">
        <f>'Modalidade Azul'!E36</f>
        <v>124092</v>
      </c>
      <c r="F35" s="314">
        <f t="shared" si="5"/>
        <v>26216.185477499999</v>
      </c>
      <c r="G35" s="314">
        <f t="shared" si="6"/>
        <v>69674.679791999981</v>
      </c>
      <c r="H35" s="315">
        <v>1</v>
      </c>
      <c r="I35" s="311"/>
      <c r="J35" s="338"/>
    </row>
    <row r="36" spans="1:10" x14ac:dyDescent="0.25">
      <c r="A36" s="337"/>
      <c r="B36" s="311"/>
      <c r="C36" s="24">
        <f>'Modalidade Azul'!C37</f>
        <v>42491</v>
      </c>
      <c r="D36" s="313">
        <f>'Modalidade Azul'!D37</f>
        <v>24424</v>
      </c>
      <c r="E36" s="313">
        <f>'Modalidade Azul'!E37</f>
        <v>108540</v>
      </c>
      <c r="F36" s="314">
        <f t="shared" si="5"/>
        <v>22492.855379999997</v>
      </c>
      <c r="G36" s="314">
        <f t="shared" si="6"/>
        <v>60942.605039999988</v>
      </c>
      <c r="H36" s="315">
        <v>1</v>
      </c>
      <c r="I36" s="311"/>
      <c r="J36" s="338"/>
    </row>
    <row r="37" spans="1:10" x14ac:dyDescent="0.25">
      <c r="A37" s="337"/>
      <c r="B37" s="311"/>
      <c r="C37" s="24">
        <f>'Modalidade Azul'!C38</f>
        <v>42522</v>
      </c>
      <c r="D37" s="313">
        <f>'Modalidade Azul'!D38</f>
        <v>23919</v>
      </c>
      <c r="E37" s="313">
        <f>'Modalidade Azul'!E38</f>
        <v>111557</v>
      </c>
      <c r="F37" s="314">
        <f t="shared" si="5"/>
        <v>22027.784467500001</v>
      </c>
      <c r="G37" s="314">
        <f t="shared" si="6"/>
        <v>62636.578131999988</v>
      </c>
      <c r="H37" s="315">
        <v>1</v>
      </c>
      <c r="I37" s="311"/>
      <c r="J37" s="338"/>
    </row>
    <row r="38" spans="1:10" x14ac:dyDescent="0.25">
      <c r="A38" s="337"/>
      <c r="B38" s="311"/>
      <c r="C38" s="24">
        <f>'Modalidade Azul'!C39</f>
        <v>42552</v>
      </c>
      <c r="D38" s="313">
        <f>'Modalidade Azul'!D39</f>
        <v>18226</v>
      </c>
      <c r="E38" s="313">
        <f>'Modalidade Azul'!E39</f>
        <v>83563</v>
      </c>
      <c r="F38" s="314">
        <f t="shared" si="5"/>
        <v>16784.915745000002</v>
      </c>
      <c r="G38" s="314">
        <f t="shared" si="6"/>
        <v>46918.618987999987</v>
      </c>
      <c r="H38" s="315">
        <v>1</v>
      </c>
      <c r="I38" s="311"/>
      <c r="J38" s="338"/>
    </row>
    <row r="39" spans="1:10" x14ac:dyDescent="0.25">
      <c r="A39" s="337"/>
      <c r="B39" s="311"/>
      <c r="C39" s="24">
        <f>'Modalidade Azul'!C40</f>
        <v>42583</v>
      </c>
      <c r="D39" s="313">
        <f>'Modalidade Azul'!D40</f>
        <v>15307</v>
      </c>
      <c r="E39" s="313">
        <f>'Modalidade Azul'!E40</f>
        <v>71993</v>
      </c>
      <c r="F39" s="314">
        <f t="shared" si="5"/>
        <v>14096.713777499999</v>
      </c>
      <c r="G39" s="314">
        <f t="shared" si="6"/>
        <v>40422.341667999994</v>
      </c>
      <c r="H39" s="315">
        <v>1</v>
      </c>
      <c r="I39" s="311"/>
      <c r="J39" s="338"/>
    </row>
    <row r="40" spans="1:10" x14ac:dyDescent="0.25">
      <c r="A40" s="337"/>
      <c r="B40" s="311"/>
      <c r="C40" s="24">
        <f>'Modalidade Azul'!C41</f>
        <v>42614</v>
      </c>
      <c r="D40" s="313">
        <f>'Modalidade Azul'!D41</f>
        <v>24967</v>
      </c>
      <c r="E40" s="313">
        <f>'Modalidade Azul'!E41</f>
        <v>106667</v>
      </c>
      <c r="F40" s="314">
        <f t="shared" si="5"/>
        <v>22992.921727499997</v>
      </c>
      <c r="G40" s="314">
        <f t="shared" si="6"/>
        <v>59890.960491999991</v>
      </c>
      <c r="H40" s="315">
        <v>1</v>
      </c>
      <c r="I40" s="311"/>
      <c r="J40" s="338"/>
    </row>
    <row r="41" spans="1:10" x14ac:dyDescent="0.25">
      <c r="A41" s="337"/>
      <c r="B41" s="311"/>
      <c r="C41" s="24">
        <f>'Modalidade Azul'!C42</f>
        <v>42644</v>
      </c>
      <c r="D41" s="313">
        <f>'Modalidade Azul'!D42</f>
        <v>21130</v>
      </c>
      <c r="E41" s="313">
        <f>'Modalidade Azul'!E42</f>
        <v>92496</v>
      </c>
      <c r="F41" s="314">
        <f t="shared" si="5"/>
        <v>19459.303725000002</v>
      </c>
      <c r="G41" s="314">
        <f t="shared" si="6"/>
        <v>51934.284095999988</v>
      </c>
      <c r="H41" s="315">
        <v>1</v>
      </c>
      <c r="I41" s="311"/>
      <c r="J41" s="338"/>
    </row>
    <row r="42" spans="1:10" x14ac:dyDescent="0.25">
      <c r="A42" s="337"/>
      <c r="B42" s="311"/>
      <c r="C42" s="24">
        <f>'Modalidade Azul'!C43</f>
        <v>42675</v>
      </c>
      <c r="D42" s="313">
        <f>'Modalidade Azul'!D43</f>
        <v>25514</v>
      </c>
      <c r="E42" s="313">
        <f>'Modalidade Azul'!E43</f>
        <v>105338</v>
      </c>
      <c r="F42" s="314">
        <f t="shared" si="5"/>
        <v>23496.671804999998</v>
      </c>
      <c r="G42" s="314">
        <f t="shared" si="6"/>
        <v>59144.758887999989</v>
      </c>
      <c r="H42" s="315">
        <v>1</v>
      </c>
      <c r="I42" s="311"/>
      <c r="J42" s="338"/>
    </row>
    <row r="43" spans="1:10" ht="15.75" thickBot="1" x14ac:dyDescent="0.3">
      <c r="A43" s="337"/>
      <c r="B43" s="311"/>
      <c r="C43" s="24">
        <f>'Modalidade Azul'!C44</f>
        <v>42705</v>
      </c>
      <c r="D43" s="317">
        <f>'Modalidade Azul'!D44</f>
        <v>26692</v>
      </c>
      <c r="E43" s="317">
        <f>'Modalidade Azul'!E44</f>
        <v>115548</v>
      </c>
      <c r="F43" s="314">
        <f t="shared" si="5"/>
        <v>24581.530289999999</v>
      </c>
      <c r="G43" s="314">
        <f>IF(H43=1,$D$29,IF(H43=2,$F$29,IF(H43=3,$H$29,$J$29)))*E43/1000</f>
        <v>64877.428847999989</v>
      </c>
      <c r="H43" s="318">
        <v>1</v>
      </c>
      <c r="I43" s="311"/>
      <c r="J43" s="338"/>
    </row>
    <row r="44" spans="1:10" s="325" customFormat="1" ht="15.75" thickBot="1" x14ac:dyDescent="0.3">
      <c r="A44" s="319"/>
      <c r="B44" s="319"/>
      <c r="C44" s="320" t="s">
        <v>93</v>
      </c>
      <c r="D44" s="321"/>
      <c r="E44" s="321"/>
      <c r="F44" s="322">
        <f>SUM(F32:F43)</f>
        <v>250385.89089750001</v>
      </c>
      <c r="G44" s="322">
        <f>SUM(G32:G43)</f>
        <v>695393.07928399986</v>
      </c>
      <c r="H44" s="323"/>
      <c r="I44" s="324"/>
      <c r="J44" s="319"/>
    </row>
    <row r="45" spans="1:10" s="242" customFormat="1" ht="16.5" thickBot="1" x14ac:dyDescent="0.3">
      <c r="A45" s="326"/>
      <c r="B45" s="326"/>
      <c r="C45" s="327"/>
      <c r="D45" s="327"/>
      <c r="E45" s="327"/>
      <c r="F45" s="328" t="s">
        <v>91</v>
      </c>
      <c r="G45" s="329"/>
      <c r="H45" s="330">
        <f>F44+G44</f>
        <v>945778.97018149984</v>
      </c>
      <c r="I45" s="327"/>
      <c r="J45" s="326"/>
    </row>
    <row r="46" spans="1:10" ht="15.75" thickBot="1" x14ac:dyDescent="0.3">
      <c r="A46" s="243"/>
    </row>
    <row r="47" spans="1:10" s="335" customFormat="1" ht="19.5" thickBot="1" x14ac:dyDescent="0.35">
      <c r="A47" s="331"/>
      <c r="B47" s="331"/>
      <c r="C47" s="331"/>
      <c r="D47" s="332" t="s">
        <v>23</v>
      </c>
      <c r="E47" s="333"/>
      <c r="F47" s="334">
        <f>H45+E22</f>
        <v>978031.58863149979</v>
      </c>
      <c r="G47" s="331"/>
      <c r="H47" s="331"/>
      <c r="I47" s="331"/>
    </row>
  </sheetData>
  <sheetProtection sheet="1" objects="1" scenarios="1"/>
  <mergeCells count="21">
    <mergeCell ref="A7:C7"/>
    <mergeCell ref="A6:C6"/>
    <mergeCell ref="A5:C5"/>
    <mergeCell ref="A4:C4"/>
    <mergeCell ref="A27:B27"/>
    <mergeCell ref="A24:J24"/>
    <mergeCell ref="A25:J25"/>
    <mergeCell ref="A26:J26"/>
    <mergeCell ref="G27:H27"/>
    <mergeCell ref="E27:F27"/>
    <mergeCell ref="I27:J27"/>
    <mergeCell ref="F45:G45"/>
    <mergeCell ref="D47:E47"/>
    <mergeCell ref="C27:D27"/>
    <mergeCell ref="A1:E1"/>
    <mergeCell ref="A2:E2"/>
    <mergeCell ref="C22:D22"/>
    <mergeCell ref="A21:C21"/>
    <mergeCell ref="D4:E4"/>
    <mergeCell ref="D5:E5"/>
    <mergeCell ref="A3:E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1" manualBreakCount="1">
    <brk id="2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9525</xdr:colOff>
                    <xdr:row>31</xdr:row>
                    <xdr:rowOff>0</xdr:rowOff>
                  </from>
                  <to>
                    <xdr:col>7</xdr:col>
                    <xdr:colOff>1914525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7</xdr:col>
                    <xdr:colOff>9525</xdr:colOff>
                    <xdr:row>32</xdr:row>
                    <xdr:rowOff>0</xdr:rowOff>
                  </from>
                  <to>
                    <xdr:col>7</xdr:col>
                    <xdr:colOff>1914525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7</xdr:col>
                    <xdr:colOff>9525</xdr:colOff>
                    <xdr:row>33</xdr:row>
                    <xdr:rowOff>0</xdr:rowOff>
                  </from>
                  <to>
                    <xdr:col>7</xdr:col>
                    <xdr:colOff>1914525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7</xdr:col>
                    <xdr:colOff>9525</xdr:colOff>
                    <xdr:row>34</xdr:row>
                    <xdr:rowOff>0</xdr:rowOff>
                  </from>
                  <to>
                    <xdr:col>7</xdr:col>
                    <xdr:colOff>1914525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7</xdr:col>
                    <xdr:colOff>9525</xdr:colOff>
                    <xdr:row>35</xdr:row>
                    <xdr:rowOff>0</xdr:rowOff>
                  </from>
                  <to>
                    <xdr:col>7</xdr:col>
                    <xdr:colOff>1914525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7</xdr:col>
                    <xdr:colOff>9525</xdr:colOff>
                    <xdr:row>36</xdr:row>
                    <xdr:rowOff>0</xdr:rowOff>
                  </from>
                  <to>
                    <xdr:col>7</xdr:col>
                    <xdr:colOff>1914525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7</xdr:col>
                    <xdr:colOff>1914525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7</xdr:col>
                    <xdr:colOff>9525</xdr:colOff>
                    <xdr:row>38</xdr:row>
                    <xdr:rowOff>0</xdr:rowOff>
                  </from>
                  <to>
                    <xdr:col>7</xdr:col>
                    <xdr:colOff>1914525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7</xdr:col>
                    <xdr:colOff>9525</xdr:colOff>
                    <xdr:row>39</xdr:row>
                    <xdr:rowOff>0</xdr:rowOff>
                  </from>
                  <to>
                    <xdr:col>7</xdr:col>
                    <xdr:colOff>1914525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 moveWithCells="1">
                  <from>
                    <xdr:col>7</xdr:col>
                    <xdr:colOff>9525</xdr:colOff>
                    <xdr:row>40</xdr:row>
                    <xdr:rowOff>0</xdr:rowOff>
                  </from>
                  <to>
                    <xdr:col>7</xdr:col>
                    <xdr:colOff>1914525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 moveWithCells="1">
                  <from>
                    <xdr:col>7</xdr:col>
                    <xdr:colOff>9525</xdr:colOff>
                    <xdr:row>41</xdr:row>
                    <xdr:rowOff>0</xdr:rowOff>
                  </from>
                  <to>
                    <xdr:col>7</xdr:col>
                    <xdr:colOff>1914525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7</xdr:col>
                    <xdr:colOff>1914525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9"/>
  <sheetViews>
    <sheetView zoomScaleNormal="100" workbookViewId="0">
      <selection activeCell="B12" sqref="B12"/>
    </sheetView>
  </sheetViews>
  <sheetFormatPr defaultRowHeight="15" x14ac:dyDescent="0.25"/>
  <cols>
    <col min="1" max="2" width="36.140625" style="161" bestFit="1" customWidth="1"/>
    <col min="3" max="3" width="38.5703125" style="161" customWidth="1"/>
    <col min="4" max="4" width="47.5703125" style="161" customWidth="1"/>
    <col min="5" max="5" width="48.7109375" style="161" customWidth="1"/>
    <col min="6" max="6" width="6.42578125" style="161" customWidth="1"/>
    <col min="7" max="7" width="16.7109375" style="161" hidden="1" customWidth="1"/>
    <col min="8" max="8" width="37.42578125" style="161" hidden="1" customWidth="1"/>
    <col min="9" max="9" width="16.7109375" style="212" customWidth="1"/>
    <col min="10" max="16384" width="9.140625" style="126"/>
  </cols>
  <sheetData>
    <row r="1" spans="1:9" ht="51.75" customHeight="1" x14ac:dyDescent="0.25">
      <c r="A1" s="125"/>
      <c r="B1" s="125"/>
      <c r="C1" s="125"/>
      <c r="D1" s="125"/>
      <c r="E1" s="125"/>
    </row>
    <row r="2" spans="1:9" ht="30.75" customHeight="1" thickBot="1" x14ac:dyDescent="0.3">
      <c r="A2" s="127" t="s">
        <v>92</v>
      </c>
      <c r="B2" s="125"/>
      <c r="C2" s="125"/>
      <c r="D2" s="125"/>
      <c r="E2" s="125"/>
    </row>
    <row r="3" spans="1:9" ht="15.75" thickBot="1" x14ac:dyDescent="0.3">
      <c r="A3" s="352" t="s">
        <v>35</v>
      </c>
      <c r="B3" s="353"/>
      <c r="C3" s="353"/>
      <c r="D3" s="353"/>
      <c r="E3" s="354"/>
      <c r="F3" s="214"/>
      <c r="G3" s="214"/>
      <c r="H3" s="214"/>
      <c r="I3" s="214"/>
    </row>
    <row r="4" spans="1:9" ht="15.75" thickBot="1" x14ac:dyDescent="0.3">
      <c r="A4" s="355" t="s">
        <v>76</v>
      </c>
      <c r="B4" s="356"/>
      <c r="C4" s="356"/>
      <c r="D4" s="356"/>
      <c r="E4" s="357"/>
      <c r="F4" s="214"/>
      <c r="G4" s="214"/>
      <c r="H4" s="214"/>
      <c r="I4" s="214"/>
    </row>
    <row r="5" spans="1:9" x14ac:dyDescent="0.25">
      <c r="A5" s="358" t="s">
        <v>42</v>
      </c>
      <c r="B5" s="422"/>
      <c r="C5" s="422"/>
      <c r="D5" s="422" t="s">
        <v>5</v>
      </c>
      <c r="E5" s="359"/>
      <c r="G5" s="360" t="s">
        <v>27</v>
      </c>
      <c r="H5" s="361" t="s">
        <v>6</v>
      </c>
      <c r="I5" s="260"/>
    </row>
    <row r="6" spans="1:9" x14ac:dyDescent="0.25">
      <c r="A6" s="362" t="s">
        <v>64</v>
      </c>
      <c r="B6" s="423"/>
      <c r="C6" s="423"/>
      <c r="D6" s="423" t="s">
        <v>121</v>
      </c>
      <c r="E6" s="363"/>
      <c r="G6" s="364">
        <f>MAX(A8:B8)</f>
        <v>540</v>
      </c>
      <c r="H6" s="365">
        <f>IF(G6&lt;150,1,2)</f>
        <v>2</v>
      </c>
      <c r="I6" s="260"/>
    </row>
    <row r="7" spans="1:9" x14ac:dyDescent="0.25">
      <c r="A7" s="424" t="s">
        <v>58</v>
      </c>
      <c r="B7" s="425"/>
      <c r="C7" s="425"/>
      <c r="D7" s="426" t="s">
        <v>122</v>
      </c>
      <c r="E7" s="366" t="s">
        <v>78</v>
      </c>
      <c r="G7" s="367" t="s">
        <v>43</v>
      </c>
      <c r="H7" s="368" t="s">
        <v>94</v>
      </c>
      <c r="I7" s="260"/>
    </row>
    <row r="8" spans="1:9" ht="15.75" thickBot="1" x14ac:dyDescent="0.3">
      <c r="A8" s="427">
        <v>540</v>
      </c>
      <c r="B8" s="428"/>
      <c r="C8" s="428"/>
      <c r="D8" s="429">
        <f>24.81*0.85</f>
        <v>21.0885</v>
      </c>
      <c r="E8" s="430">
        <v>49.62</v>
      </c>
      <c r="G8" s="369" t="s">
        <v>44</v>
      </c>
      <c r="H8" s="370" t="s">
        <v>82</v>
      </c>
      <c r="I8" s="260"/>
    </row>
    <row r="9" spans="1:9" x14ac:dyDescent="0.25">
      <c r="A9" s="371" t="s">
        <v>1</v>
      </c>
      <c r="B9" s="372" t="s">
        <v>2</v>
      </c>
      <c r="C9" s="373" t="s">
        <v>6</v>
      </c>
      <c r="D9" s="374" t="s">
        <v>21</v>
      </c>
      <c r="E9" s="375" t="s">
        <v>22</v>
      </c>
      <c r="F9" s="278"/>
      <c r="I9" s="278"/>
    </row>
    <row r="10" spans="1:9" x14ac:dyDescent="0.25">
      <c r="A10" s="376">
        <f>'Modalidade Verde'!A9</f>
        <v>42370</v>
      </c>
      <c r="B10" s="377">
        <f>MAX('Modalidade Azul'!B10,'Modalidade Azul'!F10)</f>
        <v>439.8</v>
      </c>
      <c r="C10" s="378">
        <f>IF(B10&gt;$A$8,(IF(B10&gt;1.05*$A$8,2,1)),0)</f>
        <v>0</v>
      </c>
      <c r="D10" s="379">
        <f>IF(C10=1,B10*$D$8,$A$8*$D$8)</f>
        <v>11387.789999999999</v>
      </c>
      <c r="E10" s="380">
        <f>IF(C10=2,(B10-$A$8)*$E$8,0)</f>
        <v>0</v>
      </c>
      <c r="F10" s="283"/>
      <c r="G10" s="284"/>
      <c r="H10" s="285"/>
      <c r="I10" s="272"/>
    </row>
    <row r="11" spans="1:9" x14ac:dyDescent="0.25">
      <c r="A11" s="376">
        <f>'Modalidade Verde'!A10</f>
        <v>42401</v>
      </c>
      <c r="B11" s="377">
        <f>MAX('Modalidade Azul'!B11,'Modalidade Azul'!F11)</f>
        <v>533.4</v>
      </c>
      <c r="C11" s="378">
        <f t="shared" ref="C11:C21" si="0">IF(B11&gt;$A$8,(IF(B11&gt;1.05*$A$8,2,1)),0)</f>
        <v>0</v>
      </c>
      <c r="D11" s="379">
        <f t="shared" ref="D11:D13" si="1">IF(C11=1,B11*$D$8,$A$8*$D$8)</f>
        <v>11387.789999999999</v>
      </c>
      <c r="E11" s="380">
        <f t="shared" ref="E11:E13" si="2">IF(C11=2,(B11-$A$8)*$E$8,0)</f>
        <v>0</v>
      </c>
      <c r="F11" s="283"/>
      <c r="G11" s="284"/>
      <c r="H11" s="285"/>
      <c r="I11" s="272"/>
    </row>
    <row r="12" spans="1:9" x14ac:dyDescent="0.25">
      <c r="A12" s="376">
        <f>'Modalidade Verde'!A11</f>
        <v>42430</v>
      </c>
      <c r="B12" s="377">
        <f>MAX('Modalidade Azul'!B12,'Modalidade Azul'!F12)</f>
        <v>572</v>
      </c>
      <c r="C12" s="378">
        <f t="shared" si="0"/>
        <v>2</v>
      </c>
      <c r="D12" s="379">
        <f t="shared" si="1"/>
        <v>11387.789999999999</v>
      </c>
      <c r="E12" s="380">
        <f t="shared" si="2"/>
        <v>1587.84</v>
      </c>
      <c r="F12" s="283"/>
      <c r="G12" s="284"/>
      <c r="H12" s="285"/>
      <c r="I12" s="272"/>
    </row>
    <row r="13" spans="1:9" x14ac:dyDescent="0.25">
      <c r="A13" s="376">
        <f>'Modalidade Verde'!A12</f>
        <v>42461</v>
      </c>
      <c r="B13" s="377">
        <f>MAX('Modalidade Azul'!B13,'Modalidade Azul'!F13)</f>
        <v>596.5</v>
      </c>
      <c r="C13" s="378">
        <f t="shared" si="0"/>
        <v>2</v>
      </c>
      <c r="D13" s="379">
        <f t="shared" si="1"/>
        <v>11387.789999999999</v>
      </c>
      <c r="E13" s="380">
        <f t="shared" si="2"/>
        <v>2803.5299999999997</v>
      </c>
      <c r="F13" s="283"/>
      <c r="G13" s="284"/>
      <c r="H13" s="285"/>
      <c r="I13" s="272"/>
    </row>
    <row r="14" spans="1:9" x14ac:dyDescent="0.25">
      <c r="A14" s="376">
        <f>'Modalidade Verde'!A13</f>
        <v>42491</v>
      </c>
      <c r="B14" s="377">
        <f>MAX('Modalidade Azul'!B14,'Modalidade Azul'!F14)</f>
        <v>557.29999999999995</v>
      </c>
      <c r="C14" s="378">
        <f t="shared" si="0"/>
        <v>1</v>
      </c>
      <c r="D14" s="379">
        <f>IF(C14=1,B14*$D$8,$B$8*$D$8)</f>
        <v>11752.62105</v>
      </c>
      <c r="E14" s="380">
        <f>IF(C14=2,(B14-$B$8)*$E$8,0)</f>
        <v>0</v>
      </c>
      <c r="F14" s="283"/>
      <c r="G14" s="284"/>
      <c r="H14" s="285"/>
      <c r="I14" s="272"/>
    </row>
    <row r="15" spans="1:9" x14ac:dyDescent="0.25">
      <c r="A15" s="376">
        <f>'Modalidade Verde'!A14</f>
        <v>42522</v>
      </c>
      <c r="B15" s="377">
        <f>MAX('Modalidade Azul'!B15,'Modalidade Azul'!F15)</f>
        <v>434.9</v>
      </c>
      <c r="C15" s="378">
        <f t="shared" si="0"/>
        <v>0</v>
      </c>
      <c r="D15" s="379">
        <f t="shared" ref="D15:D20" si="3">IF(C15=1,B15*$D$8,$B$8*$D$8)</f>
        <v>0</v>
      </c>
      <c r="E15" s="380">
        <f t="shared" ref="E15:E20" si="4">IF(C15=2,(B15-$B$8)*$E$8,0)</f>
        <v>0</v>
      </c>
      <c r="F15" s="283"/>
      <c r="G15" s="284"/>
      <c r="H15" s="285"/>
      <c r="I15" s="272"/>
    </row>
    <row r="16" spans="1:9" x14ac:dyDescent="0.25">
      <c r="A16" s="376">
        <f>'Modalidade Verde'!A15</f>
        <v>42552</v>
      </c>
      <c r="B16" s="377">
        <f>MAX('Modalidade Azul'!B16,'Modalidade Azul'!F16)</f>
        <v>432.6</v>
      </c>
      <c r="C16" s="378">
        <f t="shared" si="0"/>
        <v>0</v>
      </c>
      <c r="D16" s="379">
        <f t="shared" si="3"/>
        <v>0</v>
      </c>
      <c r="E16" s="380">
        <f t="shared" si="4"/>
        <v>0</v>
      </c>
      <c r="F16" s="283"/>
      <c r="G16" s="284"/>
      <c r="H16" s="285"/>
      <c r="I16" s="272"/>
    </row>
    <row r="17" spans="1:14" x14ac:dyDescent="0.25">
      <c r="A17" s="376">
        <f>'Modalidade Verde'!A16</f>
        <v>42583</v>
      </c>
      <c r="B17" s="377">
        <f>MAX('Modalidade Azul'!B17,'Modalidade Azul'!F17)</f>
        <v>428.8</v>
      </c>
      <c r="C17" s="378">
        <f t="shared" si="0"/>
        <v>0</v>
      </c>
      <c r="D17" s="379">
        <f t="shared" si="3"/>
        <v>0</v>
      </c>
      <c r="E17" s="380">
        <f t="shared" si="4"/>
        <v>0</v>
      </c>
      <c r="F17" s="283"/>
      <c r="G17" s="284"/>
      <c r="H17" s="285"/>
      <c r="I17" s="272"/>
    </row>
    <row r="18" spans="1:14" x14ac:dyDescent="0.25">
      <c r="A18" s="376">
        <f>'Modalidade Verde'!A17</f>
        <v>42614</v>
      </c>
      <c r="B18" s="377">
        <f>MAX('Modalidade Azul'!B18,'Modalidade Azul'!F18)</f>
        <v>503.1</v>
      </c>
      <c r="C18" s="378">
        <f t="shared" si="0"/>
        <v>0</v>
      </c>
      <c r="D18" s="379">
        <f t="shared" si="3"/>
        <v>0</v>
      </c>
      <c r="E18" s="380">
        <f t="shared" si="4"/>
        <v>0</v>
      </c>
      <c r="F18" s="283"/>
      <c r="G18" s="284"/>
      <c r="H18" s="285"/>
      <c r="I18" s="272"/>
    </row>
    <row r="19" spans="1:14" x14ac:dyDescent="0.25">
      <c r="A19" s="376">
        <f>'Modalidade Verde'!A18</f>
        <v>42644</v>
      </c>
      <c r="B19" s="377">
        <f>MAX('Modalidade Azul'!B19,'Modalidade Azul'!F19)</f>
        <v>463.1</v>
      </c>
      <c r="C19" s="378">
        <f t="shared" si="0"/>
        <v>0</v>
      </c>
      <c r="D19" s="379">
        <f t="shared" si="3"/>
        <v>0</v>
      </c>
      <c r="E19" s="380">
        <f t="shared" si="4"/>
        <v>0</v>
      </c>
      <c r="F19" s="283"/>
      <c r="G19" s="284"/>
      <c r="H19" s="285"/>
      <c r="I19" s="272"/>
    </row>
    <row r="20" spans="1:14" x14ac:dyDescent="0.25">
      <c r="A20" s="376">
        <f>'Modalidade Verde'!A19</f>
        <v>42675</v>
      </c>
      <c r="B20" s="377">
        <f>MAX('Modalidade Azul'!B20,'Modalidade Azul'!F20)</f>
        <v>581.1</v>
      </c>
      <c r="C20" s="378">
        <f t="shared" si="0"/>
        <v>2</v>
      </c>
      <c r="D20" s="379">
        <f t="shared" si="3"/>
        <v>0</v>
      </c>
      <c r="E20" s="380">
        <f t="shared" si="4"/>
        <v>28834.182000000001</v>
      </c>
      <c r="F20" s="283"/>
      <c r="G20" s="284"/>
      <c r="H20" s="285"/>
      <c r="I20" s="272"/>
    </row>
    <row r="21" spans="1:14" ht="15.75" thickBot="1" x14ac:dyDescent="0.3">
      <c r="A21" s="376">
        <f>'Modalidade Verde'!A20</f>
        <v>42705</v>
      </c>
      <c r="B21" s="381">
        <f>MAX('Modalidade Azul'!B21,'Modalidade Azul'!F21)</f>
        <v>581.1</v>
      </c>
      <c r="C21" s="382">
        <f t="shared" si="0"/>
        <v>2</v>
      </c>
      <c r="D21" s="383">
        <f>IF(C21=1,B21*$D$8,$A$8*$D$8)</f>
        <v>11387.789999999999</v>
      </c>
      <c r="E21" s="384">
        <f>IF(C21=2,(B21-$A$8)*$E$8,0)</f>
        <v>2039.382000000001</v>
      </c>
      <c r="F21" s="283"/>
      <c r="G21" s="284"/>
      <c r="H21" s="285"/>
      <c r="I21" s="272"/>
    </row>
    <row r="22" spans="1:14" s="325" customFormat="1" ht="15.75" thickBot="1" x14ac:dyDescent="0.3">
      <c r="A22" s="385" t="s">
        <v>93</v>
      </c>
      <c r="B22" s="386"/>
      <c r="C22" s="387"/>
      <c r="D22" s="388">
        <f>SUM(D10:D21)</f>
        <v>68691.571049999999</v>
      </c>
      <c r="E22" s="389">
        <f>SUM(E10:E21)</f>
        <v>35264.934000000001</v>
      </c>
      <c r="F22" s="390"/>
      <c r="G22" s="390"/>
      <c r="H22" s="391"/>
      <c r="I22" s="391"/>
    </row>
    <row r="23" spans="1:14" ht="16.5" thickBot="1" x14ac:dyDescent="0.3">
      <c r="A23" s="392"/>
      <c r="B23" s="392"/>
      <c r="C23" s="393" t="s">
        <v>14</v>
      </c>
      <c r="D23" s="393"/>
      <c r="E23" s="394">
        <f>D22+E22</f>
        <v>103956.50505000001</v>
      </c>
    </row>
    <row r="24" spans="1:14" ht="15.75" thickBot="1" x14ac:dyDescent="0.3"/>
    <row r="25" spans="1:14" ht="15.75" thickBot="1" x14ac:dyDescent="0.3">
      <c r="A25" s="352" t="s">
        <v>36</v>
      </c>
      <c r="B25" s="353"/>
      <c r="C25" s="353"/>
      <c r="D25" s="353"/>
      <c r="E25" s="354"/>
      <c r="F25" s="214"/>
      <c r="G25" s="214"/>
      <c r="H25" s="214"/>
      <c r="I25" s="214"/>
    </row>
    <row r="26" spans="1:14" x14ac:dyDescent="0.25">
      <c r="A26" s="395" t="s">
        <v>112</v>
      </c>
      <c r="B26" s="396"/>
      <c r="C26" s="396"/>
      <c r="D26" s="396"/>
      <c r="E26" s="397"/>
    </row>
    <row r="27" spans="1:14" ht="15.75" thickBot="1" x14ac:dyDescent="0.3">
      <c r="A27" s="398" t="s">
        <v>120</v>
      </c>
      <c r="B27" s="399"/>
      <c r="C27" s="399"/>
      <c r="D27" s="399"/>
      <c r="E27" s="400"/>
    </row>
    <row r="28" spans="1:14" x14ac:dyDescent="0.25">
      <c r="A28" s="420" t="s">
        <v>132</v>
      </c>
      <c r="B28" s="420" t="s">
        <v>106</v>
      </c>
      <c r="C28" s="401" t="s">
        <v>107</v>
      </c>
      <c r="D28" s="401" t="s">
        <v>101</v>
      </c>
      <c r="E28" s="402" t="s">
        <v>102</v>
      </c>
    </row>
    <row r="29" spans="1:14" ht="15.75" thickBot="1" x14ac:dyDescent="0.3">
      <c r="A29" s="431">
        <f>(75.77+271.71)</f>
        <v>347.47999999999996</v>
      </c>
      <c r="B29" s="421">
        <f>A29*0.85</f>
        <v>295.35799999999995</v>
      </c>
      <c r="C29" s="403">
        <f>(A29+15)*0.85</f>
        <v>308.10799999999995</v>
      </c>
      <c r="D29" s="403">
        <f>(A29+30)*0.85</f>
        <v>320.85799999999995</v>
      </c>
      <c r="E29" s="404">
        <f>(A29+45)*0.85</f>
        <v>333.60799999999995</v>
      </c>
    </row>
    <row r="30" spans="1:14" s="161" customFormat="1" ht="12.75" x14ac:dyDescent="0.2">
      <c r="A30" s="371" t="s">
        <v>1</v>
      </c>
      <c r="B30" s="372" t="s">
        <v>65</v>
      </c>
      <c r="C30" s="372" t="s">
        <v>66</v>
      </c>
      <c r="D30" s="372" t="s">
        <v>25</v>
      </c>
      <c r="E30" s="405" t="s">
        <v>62</v>
      </c>
      <c r="I30" s="212"/>
    </row>
    <row r="31" spans="1:14" s="161" customFormat="1" ht="16.5" customHeight="1" x14ac:dyDescent="0.25">
      <c r="A31" s="376">
        <f>'Modalidade Verde'!C32</f>
        <v>42370</v>
      </c>
      <c r="B31" s="406">
        <f>'Modalidade Azul'!D33</f>
        <v>16671</v>
      </c>
      <c r="C31" s="406">
        <f>'Modalidade Azul'!E33</f>
        <v>94522</v>
      </c>
      <c r="D31" s="407">
        <f>(IF(E31=1,$B$29,IF(E31=2,$C$29,IF(E31=3,$D29,$E$29)))*C31)/1000</f>
        <v>27917.828875999996</v>
      </c>
      <c r="E31" s="408">
        <v>1</v>
      </c>
      <c r="I31" s="212"/>
      <c r="J31" s="126"/>
      <c r="K31" s="126"/>
      <c r="L31" s="126"/>
      <c r="M31" s="126"/>
      <c r="N31" s="126"/>
    </row>
    <row r="32" spans="1:14" s="161" customFormat="1" ht="16.5" customHeight="1" x14ac:dyDescent="0.2">
      <c r="A32" s="376">
        <f>'Modalidade Verde'!C33</f>
        <v>42401</v>
      </c>
      <c r="B32" s="406">
        <f>'Modalidade Azul'!D34</f>
        <v>18849</v>
      </c>
      <c r="C32" s="406">
        <f>'Modalidade Azul'!E34</f>
        <v>100526</v>
      </c>
      <c r="D32" s="407">
        <f>(IF(E32=1,$B$29,IF(E32=2,$C$29,IF(E32=3,$D30,$E$29)))*C32)/1000</f>
        <v>29691.158307999995</v>
      </c>
      <c r="E32" s="408">
        <v>1</v>
      </c>
      <c r="I32" s="212"/>
    </row>
    <row r="33" spans="1:9" s="161" customFormat="1" ht="16.5" customHeight="1" x14ac:dyDescent="0.2">
      <c r="A33" s="376">
        <f>'Modalidade Verde'!C34</f>
        <v>42430</v>
      </c>
      <c r="B33" s="406">
        <f>'Modalidade Azul'!D35</f>
        <v>27717</v>
      </c>
      <c r="C33" s="406">
        <f>'Modalidade Azul'!E35</f>
        <v>123667</v>
      </c>
      <c r="D33" s="407">
        <f>(IF(E33=1,$B$29,IF(E33=2,$C$29,IF(E33=3,$D31,$E$29)))*C33)/1000</f>
        <v>36526.037785999994</v>
      </c>
      <c r="E33" s="408">
        <v>1</v>
      </c>
      <c r="I33" s="212"/>
    </row>
    <row r="34" spans="1:9" s="161" customFormat="1" ht="16.5" customHeight="1" x14ac:dyDescent="0.2">
      <c r="A34" s="376">
        <f>'Modalidade Verde'!C35</f>
        <v>42461</v>
      </c>
      <c r="B34" s="406">
        <f>'Modalidade Azul'!D36</f>
        <v>28467</v>
      </c>
      <c r="C34" s="406">
        <f>'Modalidade Azul'!E36</f>
        <v>124092</v>
      </c>
      <c r="D34" s="407">
        <f>(IF(E34=1,$B$29,IF(E34=2,$C$29,IF(E34=3,$D32,$E$29)))*C34)/1000</f>
        <v>36651.564935999995</v>
      </c>
      <c r="E34" s="408">
        <v>1</v>
      </c>
      <c r="I34" s="212"/>
    </row>
    <row r="35" spans="1:9" s="161" customFormat="1" ht="16.5" customHeight="1" x14ac:dyDescent="0.2">
      <c r="A35" s="376">
        <f>'Modalidade Verde'!C36</f>
        <v>42491</v>
      </c>
      <c r="B35" s="406">
        <f>'Modalidade Azul'!D37</f>
        <v>24424</v>
      </c>
      <c r="C35" s="406">
        <f>'Modalidade Azul'!E37</f>
        <v>108540</v>
      </c>
      <c r="D35" s="407">
        <f>(IF(E35=1,$B$29,IF(E35=2,$C$29,IF(E35=3,$D33,$E$29)))*C35)/1000</f>
        <v>32058.157319999991</v>
      </c>
      <c r="E35" s="408">
        <v>1</v>
      </c>
      <c r="I35" s="212"/>
    </row>
    <row r="36" spans="1:9" s="161" customFormat="1" ht="16.5" customHeight="1" x14ac:dyDescent="0.2">
      <c r="A36" s="376">
        <f>'Modalidade Verde'!C37</f>
        <v>42522</v>
      </c>
      <c r="B36" s="406">
        <f>'Modalidade Azul'!D38</f>
        <v>23919</v>
      </c>
      <c r="C36" s="406">
        <f>'Modalidade Azul'!E38</f>
        <v>111557</v>
      </c>
      <c r="D36" s="407">
        <f>(IF(E36=1,$B$29,IF(E36=2,$C$29,IF(E36=3,$D34,$E$29)))*C36)/1000</f>
        <v>32949.252405999992</v>
      </c>
      <c r="E36" s="408">
        <v>1</v>
      </c>
      <c r="I36" s="212"/>
    </row>
    <row r="37" spans="1:9" s="161" customFormat="1" ht="16.5" customHeight="1" x14ac:dyDescent="0.2">
      <c r="A37" s="376">
        <f>'Modalidade Verde'!C38</f>
        <v>42552</v>
      </c>
      <c r="B37" s="406">
        <f>'Modalidade Azul'!D39</f>
        <v>18226</v>
      </c>
      <c r="C37" s="406">
        <f>'Modalidade Azul'!E39</f>
        <v>83563</v>
      </c>
      <c r="D37" s="407">
        <f>(IF(E37=1,$B$29,IF(E37=2,$C$29,IF(E37=3,$D35,$E$29)))*C37)/1000</f>
        <v>24681.000553999995</v>
      </c>
      <c r="E37" s="408">
        <v>1</v>
      </c>
      <c r="I37" s="212"/>
    </row>
    <row r="38" spans="1:9" s="161" customFormat="1" ht="16.5" customHeight="1" x14ac:dyDescent="0.2">
      <c r="A38" s="376">
        <f>'Modalidade Verde'!C39</f>
        <v>42583</v>
      </c>
      <c r="B38" s="406">
        <f>'Modalidade Azul'!D40</f>
        <v>15307</v>
      </c>
      <c r="C38" s="406">
        <f>'Modalidade Azul'!E40</f>
        <v>71993</v>
      </c>
      <c r="D38" s="407">
        <f>(IF(E38=1,$B$29,IF(E38=2,$C$29,IF(E38=3,$D36,$E$29)))*C38)/1000</f>
        <v>21263.708493999995</v>
      </c>
      <c r="E38" s="408">
        <v>1</v>
      </c>
      <c r="I38" s="212"/>
    </row>
    <row r="39" spans="1:9" s="161" customFormat="1" ht="16.5" customHeight="1" x14ac:dyDescent="0.2">
      <c r="A39" s="376">
        <f>'Modalidade Verde'!C40</f>
        <v>42614</v>
      </c>
      <c r="B39" s="406">
        <f>'Modalidade Azul'!D41</f>
        <v>24967</v>
      </c>
      <c r="C39" s="406">
        <f>'Modalidade Azul'!E41</f>
        <v>106667</v>
      </c>
      <c r="D39" s="407">
        <f>(IF(E39=1,$B$29,IF(E39=2,$C$29,IF(E39=3,$D37,$E$29)))*C39)/1000</f>
        <v>31504.951785999994</v>
      </c>
      <c r="E39" s="408">
        <v>1</v>
      </c>
      <c r="I39" s="212"/>
    </row>
    <row r="40" spans="1:9" s="161" customFormat="1" ht="16.5" customHeight="1" x14ac:dyDescent="0.2">
      <c r="A40" s="376">
        <f>'Modalidade Verde'!C41</f>
        <v>42644</v>
      </c>
      <c r="B40" s="406">
        <f>'Modalidade Azul'!D42</f>
        <v>21130</v>
      </c>
      <c r="C40" s="406">
        <f>'Modalidade Azul'!E42</f>
        <v>92496</v>
      </c>
      <c r="D40" s="407">
        <f>(IF(E40=1,$B$29,IF(E40=2,$C$29,IF(E40=3,$D38,$E$29)))*C40)/1000</f>
        <v>27319.433567999997</v>
      </c>
      <c r="E40" s="408">
        <v>1</v>
      </c>
      <c r="I40" s="212"/>
    </row>
    <row r="41" spans="1:9" s="161" customFormat="1" ht="16.5" customHeight="1" x14ac:dyDescent="0.2">
      <c r="A41" s="376">
        <f>'Modalidade Verde'!C42</f>
        <v>42675</v>
      </c>
      <c r="B41" s="406">
        <f>'Modalidade Azul'!D43</f>
        <v>25514</v>
      </c>
      <c r="C41" s="406">
        <f>'Modalidade Azul'!E43</f>
        <v>105338</v>
      </c>
      <c r="D41" s="407">
        <f>(IF(E41=1,$B$29,IF(E41=2,$C$29,IF(E41=3,$D39,$E$29)))*C41)/1000</f>
        <v>31112.421003999993</v>
      </c>
      <c r="E41" s="408">
        <v>1</v>
      </c>
      <c r="I41" s="212"/>
    </row>
    <row r="42" spans="1:9" s="161" customFormat="1" ht="16.5" customHeight="1" thickBot="1" x14ac:dyDescent="0.25">
      <c r="A42" s="409">
        <f>'Modalidade Verde'!C43</f>
        <v>42705</v>
      </c>
      <c r="B42" s="410">
        <f>'Modalidade Azul'!D44</f>
        <v>26692</v>
      </c>
      <c r="C42" s="410">
        <f>'Modalidade Azul'!E44</f>
        <v>115548</v>
      </c>
      <c r="D42" s="407">
        <f>(IF(E42=1,$B$29,IF(E42=2,$C$29,IF(E42=3,$D40,$E$29)))*C42)/1000</f>
        <v>34128.026183999995</v>
      </c>
      <c r="E42" s="411">
        <v>1</v>
      </c>
      <c r="I42" s="212"/>
    </row>
    <row r="43" spans="1:9" s="161" customFormat="1" ht="15.75" thickBot="1" x14ac:dyDescent="0.3">
      <c r="A43" s="385" t="s">
        <v>93</v>
      </c>
      <c r="B43" s="386"/>
      <c r="C43" s="386"/>
      <c r="D43" s="412">
        <f>SUM(D31:D42)</f>
        <v>365803.54122199997</v>
      </c>
      <c r="E43" s="413"/>
      <c r="I43" s="212"/>
    </row>
    <row r="44" spans="1:9" s="415" customFormat="1" ht="16.5" thickBot="1" x14ac:dyDescent="0.3">
      <c r="A44" s="392"/>
      <c r="B44" s="392"/>
      <c r="C44" s="393" t="s">
        <v>19</v>
      </c>
      <c r="D44" s="393"/>
      <c r="E44" s="414">
        <f>D43</f>
        <v>365803.54122199997</v>
      </c>
      <c r="I44" s="242"/>
    </row>
    <row r="45" spans="1:9" s="161" customFormat="1" ht="13.5" thickBot="1" x14ac:dyDescent="0.25">
      <c r="A45" s="243"/>
      <c r="I45" s="212"/>
    </row>
    <row r="46" spans="1:9" s="161" customFormat="1" ht="18.75" thickBot="1" x14ac:dyDescent="0.3">
      <c r="B46" s="416" t="s">
        <v>26</v>
      </c>
      <c r="C46" s="417"/>
      <c r="D46" s="418">
        <f>E44+E23</f>
        <v>469760.04627199995</v>
      </c>
      <c r="I46" s="212"/>
    </row>
    <row r="47" spans="1:9" x14ac:dyDescent="0.25">
      <c r="B47" s="419" t="str">
        <f>IF(H6=1,H7,H8)</f>
        <v>Simulação inválida - Demanda &gt;150 kW</v>
      </c>
      <c r="C47" s="419"/>
      <c r="D47" s="419"/>
      <c r="E47" s="126"/>
    </row>
    <row r="319" spans="5:5" x14ac:dyDescent="0.25">
      <c r="E319" s="161">
        <v>1</v>
      </c>
    </row>
  </sheetData>
  <sheetProtection sheet="1" objects="1" scenarios="1"/>
  <mergeCells count="19">
    <mergeCell ref="A5:C5"/>
    <mergeCell ref="A6:C6"/>
    <mergeCell ref="A7:C7"/>
    <mergeCell ref="A8:C8"/>
    <mergeCell ref="B46:C46"/>
    <mergeCell ref="A26:E26"/>
    <mergeCell ref="A27:E27"/>
    <mergeCell ref="B47:D47"/>
    <mergeCell ref="A1:E1"/>
    <mergeCell ref="A2:E2"/>
    <mergeCell ref="C23:D23"/>
    <mergeCell ref="A22:C22"/>
    <mergeCell ref="A43:C43"/>
    <mergeCell ref="A3:E3"/>
    <mergeCell ref="A25:E25"/>
    <mergeCell ref="D5:E5"/>
    <mergeCell ref="D6:E6"/>
    <mergeCell ref="A4:E4"/>
    <mergeCell ref="C44:D44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18">
              <controlPr defaultSize="0" autoLine="0" autoPict="0">
                <anchor moveWithCells="1">
                  <from>
                    <xdr:col>4</xdr:col>
                    <xdr:colOff>9525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Drop Down 21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4</xdr:col>
                    <xdr:colOff>1485900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Drop Down 22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4</xdr:col>
                    <xdr:colOff>1495425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Drop Down 23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9525</xdr:rowOff>
                  </from>
                  <to>
                    <xdr:col>4</xdr:col>
                    <xdr:colOff>1495425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8" name="Drop Down 34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9" name="Drop Down 33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0" name="Drop Down 32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4</xdr:col>
                    <xdr:colOff>3238500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1" name="Drop Down 24">
              <controlPr defaultSize="0" autoLine="0" autoPict="0">
                <anchor mov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2" name="Drop Down 25">
              <controlPr defaultSize="0" autoLine="0" autoPict="0">
                <anchor moveWithCells="1">
                  <from>
                    <xdr:col>4</xdr:col>
                    <xdr:colOff>9525</xdr:colOff>
                    <xdr:row>38</xdr:row>
                    <xdr:rowOff>9525</xdr:rowOff>
                  </from>
                  <to>
                    <xdr:col>5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3" name="Drop Down 26">
              <controlPr defaultSize="0" autoLine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4</xdr:col>
                    <xdr:colOff>3238500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4" name="Drop Down 27">
              <controlPr defaultSize="0" autoLine="0" autoPict="0">
                <anchor moveWithCells="1">
                  <from>
                    <xdr:col>4</xdr:col>
                    <xdr:colOff>9525</xdr:colOff>
                    <xdr:row>40</xdr:row>
                    <xdr:rowOff>9525</xdr:rowOff>
                  </from>
                  <to>
                    <xdr:col>4</xdr:col>
                    <xdr:colOff>3238500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5" name="Drop Down 28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9525</xdr:rowOff>
                  </from>
                  <to>
                    <xdr:col>4</xdr:col>
                    <xdr:colOff>3238500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6" name="Drop Down 29">
              <controlPr defaultSize="0" autoLine="0" autoPict="0">
                <anchor moveWithCells="1">
                  <from>
                    <xdr:col>3</xdr:col>
                    <xdr:colOff>3171825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7" name="Drop Down 31">
              <controlPr defaultSize="0" autoLine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4</xdr:col>
                    <xdr:colOff>3238500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8" name="Drop Down 35">
              <controlPr defaultSize="0" autoLine="0" autoPict="0">
                <anchor moveWithCells="1">
                  <from>
                    <xdr:col>4</xdr:col>
                    <xdr:colOff>9525</xdr:colOff>
                    <xdr:row>32</xdr:row>
                    <xdr:rowOff>9525</xdr:rowOff>
                  </from>
                  <to>
                    <xdr:col>4</xdr:col>
                    <xdr:colOff>3238500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9" name="Drop Down 36">
              <controlPr defaultSize="0" autoLine="0" autoPict="0">
                <anchor moveWithCells="1">
                  <from>
                    <xdr:col>3</xdr:col>
                    <xdr:colOff>3171825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0" name="Drop Down 37">
              <controlPr defaultSize="0" autoLine="0" autoPict="0">
                <anchor moveWithCells="1">
                  <from>
                    <xdr:col>3</xdr:col>
                    <xdr:colOff>3171825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1" name="Drop Down 38">
              <controlPr defaultSize="0" autoLine="0" autoPict="0">
                <anchor moveWithCells="1">
                  <from>
                    <xdr:col>3</xdr:col>
                    <xdr:colOff>3171825</xdr:colOff>
                    <xdr:row>33</xdr:row>
                    <xdr:rowOff>9525</xdr:rowOff>
                  </from>
                  <to>
                    <xdr:col>5</xdr:col>
                    <xdr:colOff>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2" name="Drop Down 39">
              <controlPr defaultSize="0" autoLine="0" autoPict="0">
                <anchor moveWithCells="1">
                  <from>
                    <xdr:col>3</xdr:col>
                    <xdr:colOff>3171825</xdr:colOff>
                    <xdr:row>34</xdr:row>
                    <xdr:rowOff>9525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3" name="Drop Down 40">
              <controlPr defaultSize="0" autoLine="0" autoPict="0">
                <anchor moveWithCells="1">
                  <from>
                    <xdr:col>3</xdr:col>
                    <xdr:colOff>3171825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4" name="Drop Down 41">
              <controlPr defaultSize="0" autoLine="0" autoPict="0">
                <anchor moveWithCells="1">
                  <from>
                    <xdr:col>3</xdr:col>
                    <xdr:colOff>3171825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5" name="Drop Down 42">
              <controlPr defaultSize="0" autoLine="0" autoPict="0">
                <anchor moveWithCells="1">
                  <from>
                    <xdr:col>3</xdr:col>
                    <xdr:colOff>3171825</xdr:colOff>
                    <xdr:row>37</xdr:row>
                    <xdr:rowOff>9525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6" name="Drop Down 43">
              <controlPr defaultSize="0" autoLine="0" autoPict="0">
                <anchor moveWithCells="1">
                  <from>
                    <xdr:col>3</xdr:col>
                    <xdr:colOff>3171825</xdr:colOff>
                    <xdr:row>38</xdr:row>
                    <xdr:rowOff>9525</xdr:rowOff>
                  </from>
                  <to>
                    <xdr:col>5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7" name="Drop Down 44">
              <controlPr defaultSize="0" autoLine="0" autoPict="0">
                <anchor moveWithCells="1">
                  <from>
                    <xdr:col>3</xdr:col>
                    <xdr:colOff>3171825</xdr:colOff>
                    <xdr:row>39</xdr:row>
                    <xdr:rowOff>9525</xdr:rowOff>
                  </from>
                  <to>
                    <xdr:col>5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8" name="Drop Down 45">
              <controlPr defaultSize="0" autoLine="0" autoPict="0">
                <anchor moveWithCells="1">
                  <from>
                    <xdr:col>3</xdr:col>
                    <xdr:colOff>3171825</xdr:colOff>
                    <xdr:row>40</xdr:row>
                    <xdr:rowOff>9525</xdr:rowOff>
                  </from>
                  <to>
                    <xdr:col>5</xdr:col>
                    <xdr:colOff>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9" name="Drop Down 46">
              <controlPr defaultSize="0" autoLine="0" autoPict="0">
                <anchor moveWithCells="1">
                  <from>
                    <xdr:col>3</xdr:col>
                    <xdr:colOff>3171825</xdr:colOff>
                    <xdr:row>41</xdr:row>
                    <xdr:rowOff>9525</xdr:rowOff>
                  </from>
                  <to>
                    <xdr:col>5</xdr:col>
                    <xdr:colOff>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0" name="Drop Down 47">
              <controlPr defaultSize="0" autoLine="0" autoPict="0">
                <anchor moveWithCells="1">
                  <from>
                    <xdr:col>3</xdr:col>
                    <xdr:colOff>3171825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1" name="Drop Down 48">
              <controlPr defaultSize="0" autoLine="0" autoPict="0">
                <anchor moveWithCells="1">
                  <from>
                    <xdr:col>3</xdr:col>
                    <xdr:colOff>3171825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2" name="Drop Down 49">
              <controlPr defaultSize="0" autoLine="0" autoPict="0">
                <anchor moveWithCells="1">
                  <from>
                    <xdr:col>3</xdr:col>
                    <xdr:colOff>3171825</xdr:colOff>
                    <xdr:row>33</xdr:row>
                    <xdr:rowOff>9525</xdr:rowOff>
                  </from>
                  <to>
                    <xdr:col>5</xdr:col>
                    <xdr:colOff>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3" name="Drop Down 50">
              <controlPr defaultSize="0" autoLine="0" autoPict="0">
                <anchor moveWithCells="1">
                  <from>
                    <xdr:col>3</xdr:col>
                    <xdr:colOff>3171825</xdr:colOff>
                    <xdr:row>34</xdr:row>
                    <xdr:rowOff>9525</xdr:rowOff>
                  </from>
                  <to>
                    <xdr:col>5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4" name="Drop Down 51">
              <controlPr defaultSize="0" autoLine="0" autoPict="0">
                <anchor moveWithCells="1">
                  <from>
                    <xdr:col>3</xdr:col>
                    <xdr:colOff>3171825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Drop Down 52">
              <controlPr defaultSize="0" autoLine="0" autoPict="0">
                <anchor moveWithCells="1">
                  <from>
                    <xdr:col>3</xdr:col>
                    <xdr:colOff>3171825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Drop Down 53">
              <controlPr defaultSize="0" autoLine="0" autoPict="0">
                <anchor moveWithCells="1">
                  <from>
                    <xdr:col>3</xdr:col>
                    <xdr:colOff>3171825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7" name="Drop Down 54">
              <controlPr defaultSize="0" autoLine="0" autoPict="0">
                <anchor moveWithCells="1">
                  <from>
                    <xdr:col>3</xdr:col>
                    <xdr:colOff>3171825</xdr:colOff>
                    <xdr:row>38</xdr:row>
                    <xdr:rowOff>9525</xdr:rowOff>
                  </from>
                  <to>
                    <xdr:col>5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8" name="Drop Down 55">
              <controlPr defaultSize="0" autoLine="0" autoPict="0">
                <anchor moveWithCells="1">
                  <from>
                    <xdr:col>3</xdr:col>
                    <xdr:colOff>3171825</xdr:colOff>
                    <xdr:row>39</xdr:row>
                    <xdr:rowOff>9525</xdr:rowOff>
                  </from>
                  <to>
                    <xdr:col>5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9" name="Drop Down 56">
              <controlPr defaultSize="0" autoLine="0" autoPict="0">
                <anchor moveWithCells="1">
                  <from>
                    <xdr:col>3</xdr:col>
                    <xdr:colOff>3171825</xdr:colOff>
                    <xdr:row>40</xdr:row>
                    <xdr:rowOff>9525</xdr:rowOff>
                  </from>
                  <to>
                    <xdr:col>5</xdr:col>
                    <xdr:colOff>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0" name="Drop Down 57">
              <controlPr defaultSize="0" autoLine="0" autoPict="0">
                <anchor moveWithCells="1">
                  <from>
                    <xdr:col>3</xdr:col>
                    <xdr:colOff>3171825</xdr:colOff>
                    <xdr:row>41</xdr:row>
                    <xdr:rowOff>9525</xdr:rowOff>
                  </from>
                  <to>
                    <xdr:col>5</xdr:col>
                    <xdr:colOff>0</xdr:colOff>
                    <xdr:row>41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opLeftCell="A7" zoomScale="90" zoomScaleNormal="90" workbookViewId="0">
      <selection activeCell="A14" sqref="A14"/>
    </sheetView>
  </sheetViews>
  <sheetFormatPr defaultRowHeight="15" x14ac:dyDescent="0.25"/>
  <cols>
    <col min="1" max="1" width="40.42578125" style="161" customWidth="1"/>
    <col min="2" max="2" width="40.5703125" style="161" customWidth="1"/>
    <col min="3" max="3" width="45.140625" style="161" customWidth="1"/>
    <col min="4" max="4" width="48.5703125" style="161" customWidth="1"/>
    <col min="5" max="5" width="49.7109375" style="161" customWidth="1"/>
    <col min="6" max="6" width="19.140625" style="161" customWidth="1"/>
    <col min="7" max="7" width="17.140625" style="161" customWidth="1"/>
    <col min="8" max="8" width="29.85546875" style="126" customWidth="1"/>
    <col min="9" max="9" width="43.5703125" style="126" customWidth="1"/>
    <col min="10" max="10" width="10.140625" style="126" hidden="1" customWidth="1"/>
    <col min="11" max="11" width="38.5703125" style="126" hidden="1" customWidth="1"/>
    <col min="12" max="16384" width="9.140625" style="126"/>
  </cols>
  <sheetData>
    <row r="1" spans="1:12" ht="54" customHeight="1" x14ac:dyDescent="0.25">
      <c r="A1" s="125"/>
      <c r="B1" s="125"/>
      <c r="C1" s="125"/>
      <c r="D1" s="125"/>
      <c r="E1" s="125"/>
      <c r="F1" s="125"/>
      <c r="G1" s="125"/>
    </row>
    <row r="2" spans="1:12" ht="33" customHeight="1" thickBot="1" x14ac:dyDescent="0.3">
      <c r="A2" s="432" t="s">
        <v>92</v>
      </c>
      <c r="B2" s="432"/>
      <c r="C2" s="432"/>
      <c r="D2" s="432"/>
      <c r="E2" s="432"/>
      <c r="F2" s="432"/>
      <c r="G2" s="432"/>
      <c r="H2" s="432"/>
    </row>
    <row r="3" spans="1:12" ht="15.75" thickBot="1" x14ac:dyDescent="0.3">
      <c r="A3" s="433" t="s">
        <v>77</v>
      </c>
      <c r="B3" s="434"/>
      <c r="C3" s="434"/>
      <c r="D3" s="434"/>
      <c r="E3" s="434"/>
      <c r="F3" s="434"/>
      <c r="G3" s="434"/>
      <c r="H3" s="435"/>
    </row>
    <row r="4" spans="1:12" x14ac:dyDescent="0.25">
      <c r="A4" s="436" t="s">
        <v>114</v>
      </c>
      <c r="B4" s="437"/>
      <c r="C4" s="437"/>
      <c r="D4" s="437"/>
      <c r="E4" s="437"/>
      <c r="F4" s="437"/>
      <c r="G4" s="437"/>
      <c r="H4" s="438"/>
    </row>
    <row r="5" spans="1:12" ht="15.75" thickBot="1" x14ac:dyDescent="0.3">
      <c r="A5" s="439" t="s">
        <v>113</v>
      </c>
      <c r="B5" s="440"/>
      <c r="C5" s="440"/>
      <c r="D5" s="440"/>
      <c r="E5" s="440"/>
      <c r="F5" s="440"/>
      <c r="G5" s="440"/>
      <c r="H5" s="441"/>
    </row>
    <row r="6" spans="1:12" x14ac:dyDescent="0.25">
      <c r="A6" s="442" t="s">
        <v>111</v>
      </c>
      <c r="B6" s="443" t="s">
        <v>132</v>
      </c>
      <c r="C6" s="443" t="s">
        <v>109</v>
      </c>
      <c r="D6" s="443" t="s">
        <v>110</v>
      </c>
      <c r="E6" s="444" t="s">
        <v>124</v>
      </c>
      <c r="F6" s="444"/>
      <c r="G6" s="444" t="s">
        <v>102</v>
      </c>
      <c r="H6" s="445"/>
      <c r="K6" s="446"/>
    </row>
    <row r="7" spans="1:12" x14ac:dyDescent="0.25">
      <c r="A7" s="447" t="s">
        <v>108</v>
      </c>
      <c r="B7" s="109">
        <f>(143.35+259.99)</f>
        <v>403.34000000000003</v>
      </c>
      <c r="C7" s="110">
        <f>B7*0.85</f>
        <v>342.839</v>
      </c>
      <c r="D7" s="110">
        <f>(B7+15)*0.85</f>
        <v>355.589</v>
      </c>
      <c r="E7" s="111">
        <f>(B7+30)*0.85</f>
        <v>368.339</v>
      </c>
      <c r="F7" s="111"/>
      <c r="G7" s="111">
        <f>(B7+45)*0.85</f>
        <v>381.089</v>
      </c>
      <c r="H7" s="112"/>
      <c r="J7" s="448"/>
      <c r="L7" s="446"/>
    </row>
    <row r="8" spans="1:12" ht="15.75" thickBot="1" x14ac:dyDescent="0.3">
      <c r="A8" s="447" t="s">
        <v>95</v>
      </c>
      <c r="B8" s="109">
        <f>(252.75+259.99)</f>
        <v>512.74</v>
      </c>
      <c r="C8" s="110">
        <f t="shared" ref="C8:C9" si="0">B8*0.85</f>
        <v>435.82900000000001</v>
      </c>
      <c r="D8" s="110">
        <f t="shared" ref="D8:D9" si="1">(B8+15)*0.85</f>
        <v>448.57900000000001</v>
      </c>
      <c r="E8" s="111">
        <f t="shared" ref="E8:E9" si="2">(B8+30)*0.85</f>
        <v>461.32900000000001</v>
      </c>
      <c r="F8" s="111"/>
      <c r="G8" s="111">
        <f>(B8+45)*0.85</f>
        <v>474.07900000000001</v>
      </c>
      <c r="H8" s="112"/>
      <c r="J8" s="448"/>
    </row>
    <row r="9" spans="1:12" ht="15.75" customHeight="1" thickBot="1" x14ac:dyDescent="0.3">
      <c r="A9" s="449" t="s">
        <v>85</v>
      </c>
      <c r="B9" s="113">
        <f>(362.14+400.57)</f>
        <v>762.71</v>
      </c>
      <c r="C9" s="114">
        <f t="shared" si="0"/>
        <v>648.30349999999999</v>
      </c>
      <c r="D9" s="114">
        <f t="shared" si="1"/>
        <v>661.05349999999999</v>
      </c>
      <c r="E9" s="115">
        <f t="shared" si="2"/>
        <v>673.80349999999999</v>
      </c>
      <c r="F9" s="115"/>
      <c r="G9" s="115">
        <f>(B9+45)*0.85</f>
        <v>686.55349999999999</v>
      </c>
      <c r="H9" s="116"/>
      <c r="J9" s="360" t="s">
        <v>27</v>
      </c>
      <c r="K9" s="361" t="s">
        <v>6</v>
      </c>
    </row>
    <row r="10" spans="1:12" s="161" customFormat="1" ht="17.25" customHeight="1" x14ac:dyDescent="0.25">
      <c r="A10" s="450" t="s">
        <v>1</v>
      </c>
      <c r="B10" s="451" t="s">
        <v>65</v>
      </c>
      <c r="C10" s="451" t="s">
        <v>126</v>
      </c>
      <c r="D10" s="451" t="s">
        <v>66</v>
      </c>
      <c r="E10" s="451" t="s">
        <v>17</v>
      </c>
      <c r="F10" s="451" t="s">
        <v>37</v>
      </c>
      <c r="G10" s="452" t="s">
        <v>18</v>
      </c>
      <c r="H10" s="453" t="s">
        <v>59</v>
      </c>
      <c r="I10" s="126"/>
      <c r="J10" s="454">
        <f ca="1">TODAY()</f>
        <v>42776</v>
      </c>
      <c r="K10" s="365">
        <f ca="1">IF(AND(MONTH(J10)&gt;=1,YEAR(J10)&gt;=2018),1,2)</f>
        <v>2</v>
      </c>
    </row>
    <row r="11" spans="1:12" s="161" customFormat="1" ht="17.25" customHeight="1" x14ac:dyDescent="0.25">
      <c r="A11" s="455">
        <f>'Modalidade Azul'!C33</f>
        <v>42370</v>
      </c>
      <c r="B11" s="456">
        <f>'Modalidade Azul'!D33/2</f>
        <v>8335.5</v>
      </c>
      <c r="C11" s="456">
        <f>B11</f>
        <v>8335.5</v>
      </c>
      <c r="D11" s="456">
        <f>'Modalidade Azul'!E33</f>
        <v>94522</v>
      </c>
      <c r="E11" s="457">
        <f>(IF(H11=1,$C$9,IF(H11=2,$D$9,IF(H11=3,$E$9,$G$9)))*B11)/1000</f>
        <v>5403.9338242499998</v>
      </c>
      <c r="F11" s="457">
        <f>(IF(H11=1,$C$8,IF(H11=2,$D$8,IF(H11=3,$E$8,$G$8)))*C11)/1000</f>
        <v>3632.8526295000001</v>
      </c>
      <c r="G11" s="458">
        <f>(IF(H11=1,$C$7,IF(H11=2,$D$7,IF(H11=3,$E$7,$G$7)))*D11)/1000</f>
        <v>32405.827958000002</v>
      </c>
      <c r="H11" s="459">
        <v>1</v>
      </c>
      <c r="I11" s="126"/>
      <c r="J11" s="367" t="s">
        <v>43</v>
      </c>
      <c r="K11" s="460" t="s">
        <v>129</v>
      </c>
    </row>
    <row r="12" spans="1:12" s="161" customFormat="1" ht="17.25" customHeight="1" thickBot="1" x14ac:dyDescent="0.3">
      <c r="A12" s="455">
        <f>'Modalidade Azul'!C34</f>
        <v>42401</v>
      </c>
      <c r="B12" s="456">
        <f>'Modalidade Azul'!D34/2</f>
        <v>9424.5</v>
      </c>
      <c r="C12" s="456">
        <f t="shared" ref="C12:C22" si="3">B12</f>
        <v>9424.5</v>
      </c>
      <c r="D12" s="456">
        <f>'Modalidade Azul'!E34</f>
        <v>100526</v>
      </c>
      <c r="E12" s="457">
        <f>(IF(H12=1,$C$9,IF(H12=2,$D$9,IF(H12=3,$E$9,$G$9)))*B12)/1000</f>
        <v>6109.9363357499997</v>
      </c>
      <c r="F12" s="457">
        <f>(IF(H12=1,$C$8,IF(H12=2,$D$8,IF(H12=3,$E$8,$G$8)))*C12)/1000</f>
        <v>4107.4704105000001</v>
      </c>
      <c r="G12" s="458">
        <f>(IF(H12=1,$C$7,IF(H12=2,$D$7,IF(H12=3,$E$7,$G$7)))*D12)/1000</f>
        <v>34464.233314000005</v>
      </c>
      <c r="H12" s="459">
        <v>1</v>
      </c>
      <c r="I12" s="126"/>
      <c r="J12" s="369" t="s">
        <v>44</v>
      </c>
      <c r="K12" s="461" t="s">
        <v>130</v>
      </c>
    </row>
    <row r="13" spans="1:12" s="161" customFormat="1" ht="17.25" customHeight="1" x14ac:dyDescent="0.25">
      <c r="A13" s="455">
        <f>'Modalidade Azul'!C35</f>
        <v>42430</v>
      </c>
      <c r="B13" s="456">
        <f>'Modalidade Azul'!D35/2</f>
        <v>13858.5</v>
      </c>
      <c r="C13" s="456">
        <f t="shared" si="3"/>
        <v>13858.5</v>
      </c>
      <c r="D13" s="456">
        <f>'Modalidade Azul'!E35</f>
        <v>123667</v>
      </c>
      <c r="E13" s="457">
        <f>(IF(H13=1,$C$9,IF(H13=2,$D$9,IF(H13=3,$E$9,$G$9)))*B13)/1000</f>
        <v>8984.5140547499996</v>
      </c>
      <c r="F13" s="457">
        <f>(IF(H13=1,$C$8,IF(H13=2,$D$8,IF(H13=3,$E$8,$G$8)))*C13)/1000</f>
        <v>6039.9361965000007</v>
      </c>
      <c r="G13" s="458">
        <f>(IF(H13=1,$C$7,IF(H13=2,$D$7,IF(H13=3,$E$7,$G$7)))*D13)/1000</f>
        <v>42397.870612999999</v>
      </c>
      <c r="H13" s="459">
        <v>1</v>
      </c>
      <c r="I13" s="126"/>
    </row>
    <row r="14" spans="1:12" s="161" customFormat="1" ht="17.25" customHeight="1" x14ac:dyDescent="0.25">
      <c r="A14" s="455">
        <f>'Modalidade Azul'!C36</f>
        <v>42461</v>
      </c>
      <c r="B14" s="456">
        <f>'Modalidade Azul'!D36/2</f>
        <v>14233.5</v>
      </c>
      <c r="C14" s="456">
        <f t="shared" si="3"/>
        <v>14233.5</v>
      </c>
      <c r="D14" s="456">
        <f>'Modalidade Azul'!E36</f>
        <v>124092</v>
      </c>
      <c r="E14" s="457">
        <f>(IF(H14=1,$C$9,IF(H14=2,$D$9,IF(H14=3,$E$9,$G$9)))*B14)/1000</f>
        <v>9227.6278672499993</v>
      </c>
      <c r="F14" s="457">
        <f>(IF(H14=1,$C$8,IF(H14=2,$D$8,IF(H14=3,$E$8,$G$8)))*C14)/1000</f>
        <v>6203.3720715000009</v>
      </c>
      <c r="G14" s="458">
        <f>(IF(H14=1,$C$7,IF(H14=2,$D$7,IF(H14=3,$E$7,$G$7)))*D14)/1000</f>
        <v>42543.577188000003</v>
      </c>
      <c r="H14" s="459">
        <v>1</v>
      </c>
      <c r="I14" s="126"/>
    </row>
    <row r="15" spans="1:12" s="161" customFormat="1" ht="17.25" customHeight="1" x14ac:dyDescent="0.25">
      <c r="A15" s="455">
        <f>'Modalidade Azul'!C37</f>
        <v>42491</v>
      </c>
      <c r="B15" s="456">
        <f>'Modalidade Azul'!D37/2</f>
        <v>12212</v>
      </c>
      <c r="C15" s="456">
        <f t="shared" si="3"/>
        <v>12212</v>
      </c>
      <c r="D15" s="456">
        <f>'Modalidade Azul'!E37</f>
        <v>108540</v>
      </c>
      <c r="E15" s="457">
        <f>(IF(H15=1,$C$9,IF(H15=2,$D$9,IF(H15=3,$E$9,$G$9)))*B15)/1000</f>
        <v>7917.0823420000006</v>
      </c>
      <c r="F15" s="457">
        <f>(IF(H15=1,$C$8,IF(H15=2,$D$8,IF(H15=3,$E$8,$G$8)))*C15)/1000</f>
        <v>5322.3437479999993</v>
      </c>
      <c r="G15" s="458">
        <f>(IF(H15=1,$C$7,IF(H15=2,$D$7,IF(H15=3,$E$7,$G$7)))*D15)/1000</f>
        <v>37211.745060000001</v>
      </c>
      <c r="H15" s="459">
        <v>1</v>
      </c>
      <c r="I15" s="126"/>
    </row>
    <row r="16" spans="1:12" s="161" customFormat="1" ht="17.25" customHeight="1" x14ac:dyDescent="0.25">
      <c r="A16" s="455">
        <f>'Modalidade Azul'!C38</f>
        <v>42522</v>
      </c>
      <c r="B16" s="456">
        <f>'Modalidade Azul'!D38/2</f>
        <v>11959.5</v>
      </c>
      <c r="C16" s="456">
        <f t="shared" si="3"/>
        <v>11959.5</v>
      </c>
      <c r="D16" s="456">
        <f>'Modalidade Azul'!E38</f>
        <v>111557</v>
      </c>
      <c r="E16" s="457">
        <f>(IF(H16=1,$C$9,IF(H16=2,$D$9,IF(H16=3,$E$9,$G$9)))*B16)/1000</f>
        <v>7753.3857082499999</v>
      </c>
      <c r="F16" s="457">
        <f>(IF(H16=1,$C$8,IF(H16=2,$D$8,IF(H16=3,$E$8,$G$8)))*C16)/1000</f>
        <v>5212.2969254999998</v>
      </c>
      <c r="G16" s="458">
        <f>(IF(H16=1,$C$7,IF(H16=2,$D$7,IF(H16=3,$E$7,$G$7)))*D16)/1000</f>
        <v>38246.090322999997</v>
      </c>
      <c r="H16" s="459">
        <v>1</v>
      </c>
      <c r="I16" s="126"/>
    </row>
    <row r="17" spans="1:9" s="161" customFormat="1" ht="17.25" customHeight="1" x14ac:dyDescent="0.25">
      <c r="A17" s="455">
        <f>'Modalidade Azul'!C39</f>
        <v>42552</v>
      </c>
      <c r="B17" s="456">
        <f>'Modalidade Azul'!D39/2</f>
        <v>9113</v>
      </c>
      <c r="C17" s="456">
        <f t="shared" si="3"/>
        <v>9113</v>
      </c>
      <c r="D17" s="456">
        <f>'Modalidade Azul'!E39</f>
        <v>83563</v>
      </c>
      <c r="E17" s="457">
        <f>(IF(H17=1,$C$9,IF(H17=2,$D$9,IF(H17=3,$E$9,$G$9)))*B17)/1000</f>
        <v>5907.9897954999997</v>
      </c>
      <c r="F17" s="457">
        <f>(IF(H17=1,$C$8,IF(H17=2,$D$8,IF(H17=3,$E$8,$G$8)))*C17)/1000</f>
        <v>3971.7096770000003</v>
      </c>
      <c r="G17" s="458">
        <f>(IF(H17=1,$C$7,IF(H17=2,$D$7,IF(H17=3,$E$7,$G$7)))*D17)/1000</f>
        <v>28648.655357</v>
      </c>
      <c r="H17" s="459">
        <v>1</v>
      </c>
      <c r="I17" s="126"/>
    </row>
    <row r="18" spans="1:9" s="161" customFormat="1" ht="17.25" customHeight="1" x14ac:dyDescent="0.25">
      <c r="A18" s="455">
        <f>'Modalidade Azul'!C40</f>
        <v>42583</v>
      </c>
      <c r="B18" s="456">
        <f>'Modalidade Azul'!D40/2</f>
        <v>7653.5</v>
      </c>
      <c r="C18" s="456">
        <f t="shared" si="3"/>
        <v>7653.5</v>
      </c>
      <c r="D18" s="456">
        <f>'Modalidade Azul'!E40</f>
        <v>71993</v>
      </c>
      <c r="E18" s="457">
        <f>(IF(H18=1,$C$9,IF(H18=2,$D$9,IF(H18=3,$E$9,$G$9)))*B18)/1000</f>
        <v>4961.7908372499996</v>
      </c>
      <c r="F18" s="457">
        <f>(IF(H18=1,$C$8,IF(H18=2,$D$8,IF(H18=3,$E$8,$G$8)))*C18)/1000</f>
        <v>3335.6172515000003</v>
      </c>
      <c r="G18" s="458">
        <f>(IF(H18=1,$C$7,IF(H18=2,$D$7,IF(H18=3,$E$7,$G$7)))*D18)/1000</f>
        <v>24682.008127000001</v>
      </c>
      <c r="H18" s="459">
        <v>1</v>
      </c>
      <c r="I18" s="126"/>
    </row>
    <row r="19" spans="1:9" s="161" customFormat="1" ht="17.25" customHeight="1" x14ac:dyDescent="0.25">
      <c r="A19" s="455">
        <f>'Modalidade Azul'!C41</f>
        <v>42614</v>
      </c>
      <c r="B19" s="456">
        <f>'Modalidade Azul'!D41/2</f>
        <v>12483.5</v>
      </c>
      <c r="C19" s="456">
        <f t="shared" si="3"/>
        <v>12483.5</v>
      </c>
      <c r="D19" s="456">
        <f>'Modalidade Azul'!E41</f>
        <v>106667</v>
      </c>
      <c r="E19" s="457">
        <f>(IF(H19=1,$C$9,IF(H19=2,$D$9,IF(H19=3,$E$9,$G$9)))*B19)/1000</f>
        <v>8093.0967422499998</v>
      </c>
      <c r="F19" s="457">
        <f>(IF(H19=1,$C$8,IF(H19=2,$D$8,IF(H19=3,$E$8,$G$8)))*C19)/1000</f>
        <v>5440.6713215000009</v>
      </c>
      <c r="G19" s="458">
        <f>(IF(H19=1,$C$7,IF(H19=2,$D$7,IF(H19=3,$E$7,$G$7)))*D19)/1000</f>
        <v>36569.607613</v>
      </c>
      <c r="H19" s="459">
        <v>1</v>
      </c>
      <c r="I19" s="126"/>
    </row>
    <row r="20" spans="1:9" s="161" customFormat="1" ht="17.25" customHeight="1" x14ac:dyDescent="0.25">
      <c r="A20" s="455">
        <f>'Modalidade Azul'!C42</f>
        <v>42644</v>
      </c>
      <c r="B20" s="456">
        <f>'Modalidade Azul'!D42/2</f>
        <v>10565</v>
      </c>
      <c r="C20" s="456">
        <f t="shared" si="3"/>
        <v>10565</v>
      </c>
      <c r="D20" s="456">
        <f>'Modalidade Azul'!E42</f>
        <v>92496</v>
      </c>
      <c r="E20" s="457">
        <f>(IF(H20=1,$C$9,IF(H20=2,$D$9,IF(H20=3,$E$9,$G$9)))*B20)/1000</f>
        <v>6849.3264774999998</v>
      </c>
      <c r="F20" s="457">
        <f>(IF(H20=1,$C$8,IF(H20=2,$D$8,IF(H20=3,$E$8,$G$8)))*C20)/1000</f>
        <v>4604.5333849999997</v>
      </c>
      <c r="G20" s="458">
        <f>(IF(H20=1,$C$7,IF(H20=2,$D$7,IF(H20=3,$E$7,$G$7)))*D20)/1000</f>
        <v>31711.236144000002</v>
      </c>
      <c r="H20" s="459">
        <v>1</v>
      </c>
      <c r="I20" s="126"/>
    </row>
    <row r="21" spans="1:9" s="161" customFormat="1" ht="17.25" customHeight="1" x14ac:dyDescent="0.25">
      <c r="A21" s="455">
        <f>'Modalidade Azul'!C43</f>
        <v>42675</v>
      </c>
      <c r="B21" s="456">
        <f>'Modalidade Azul'!D43/2</f>
        <v>12757</v>
      </c>
      <c r="C21" s="456">
        <f t="shared" si="3"/>
        <v>12757</v>
      </c>
      <c r="D21" s="456">
        <f>'Modalidade Azul'!E43</f>
        <v>105338</v>
      </c>
      <c r="E21" s="457">
        <f>(IF(H21=1,$C$9,IF(H21=2,$D$9,IF(H21=3,$E$9,$G$9)))*B21)/1000</f>
        <v>8270.4077495000001</v>
      </c>
      <c r="F21" s="457">
        <f>(IF(H21=1,$C$8,IF(H21=2,$D$8,IF(H21=3,$E$8,$G$8)))*C21)/1000</f>
        <v>5559.8705530000007</v>
      </c>
      <c r="G21" s="458">
        <f>(IF(H21=1,$C$7,IF(H21=2,$D$7,IF(H21=3,$E$7,$G$7)))*D21)/1000</f>
        <v>36113.974582000003</v>
      </c>
      <c r="H21" s="459">
        <v>1</v>
      </c>
      <c r="I21" s="126"/>
    </row>
    <row r="22" spans="1:9" s="161" customFormat="1" ht="17.25" customHeight="1" thickBot="1" x14ac:dyDescent="0.3">
      <c r="A22" s="462">
        <f>'Modalidade Azul'!C44</f>
        <v>42705</v>
      </c>
      <c r="B22" s="463">
        <f>'Modalidade Azul'!D44/2</f>
        <v>13346</v>
      </c>
      <c r="C22" s="463">
        <f t="shared" si="3"/>
        <v>13346</v>
      </c>
      <c r="D22" s="463">
        <f>'Modalidade Azul'!E44</f>
        <v>115548</v>
      </c>
      <c r="E22" s="457">
        <f>(IF(H22=1,$C$9,IF(H22=2,$D$9,IF(H22=3,$E$9,$G$9)))*B22)/1000</f>
        <v>8652.258511</v>
      </c>
      <c r="F22" s="457">
        <f>(IF(H22=1,$C$8,IF(H22=2,$D$8,IF(H22=3,$E$8,$G$8)))*C22)/1000</f>
        <v>5816.5738339999998</v>
      </c>
      <c r="G22" s="458">
        <f>(IF(H22=1,$C$7,IF(H22=2,$D$7,IF(H22=3,$E$7,$G$7)))*D22)/1000</f>
        <v>39614.360772</v>
      </c>
      <c r="H22" s="459">
        <v>1</v>
      </c>
      <c r="I22" s="126"/>
    </row>
    <row r="23" spans="1:9" s="469" customFormat="1" ht="17.25" customHeight="1" thickBot="1" x14ac:dyDescent="0.3">
      <c r="A23" s="464" t="s">
        <v>93</v>
      </c>
      <c r="B23" s="465"/>
      <c r="C23" s="465"/>
      <c r="D23" s="465"/>
      <c r="E23" s="466">
        <f>SUM(E11:E22)</f>
        <v>88131.350245249982</v>
      </c>
      <c r="F23" s="466">
        <f>SUM(F11:F22)</f>
        <v>59247.248003500004</v>
      </c>
      <c r="G23" s="467">
        <f>SUM(G11:G22)</f>
        <v>424609.18705100002</v>
      </c>
      <c r="H23" s="468"/>
      <c r="I23" s="126"/>
    </row>
    <row r="24" spans="1:9" s="415" customFormat="1" ht="16.5" thickBot="1" x14ac:dyDescent="0.3">
      <c r="A24" s="470"/>
      <c r="B24" s="471"/>
      <c r="C24" s="471"/>
      <c r="D24" s="471"/>
      <c r="E24" s="472"/>
      <c r="F24" s="473" t="s">
        <v>38</v>
      </c>
      <c r="G24" s="474">
        <f>E23+F23+G23</f>
        <v>571987.78529975004</v>
      </c>
      <c r="H24" s="474"/>
      <c r="I24" s="126"/>
    </row>
    <row r="25" spans="1:9" s="161" customFormat="1" ht="15.75" x14ac:dyDescent="0.25">
      <c r="A25" s="243"/>
      <c r="G25" s="475" t="str">
        <f ca="1">IF(K10=1,K11,K12)</f>
        <v>Simulação inválida - Tarifa não vigente*</v>
      </c>
      <c r="H25" s="475"/>
      <c r="I25" s="126"/>
    </row>
    <row r="26" spans="1:9" ht="14.25" customHeight="1" thickBot="1" x14ac:dyDescent="0.3">
      <c r="A26" s="476" t="s">
        <v>39</v>
      </c>
      <c r="B26" s="476"/>
      <c r="C26" s="476"/>
      <c r="D26" s="476"/>
      <c r="E26" s="476"/>
      <c r="F26" s="126"/>
      <c r="G26" s="126"/>
      <c r="H26" s="214"/>
    </row>
    <row r="27" spans="1:9" x14ac:dyDescent="0.25">
      <c r="A27" s="477" t="s">
        <v>115</v>
      </c>
      <c r="B27" s="478"/>
      <c r="C27" s="478"/>
      <c r="D27" s="478"/>
      <c r="E27" s="479"/>
      <c r="H27" s="161"/>
    </row>
    <row r="28" spans="1:9" x14ac:dyDescent="0.25">
      <c r="A28" s="480" t="s">
        <v>116</v>
      </c>
      <c r="B28" s="481" t="s">
        <v>116</v>
      </c>
      <c r="C28" s="481" t="s">
        <v>117</v>
      </c>
      <c r="D28" s="481" t="s">
        <v>118</v>
      </c>
      <c r="E28" s="482" t="s">
        <v>119</v>
      </c>
      <c r="H28" s="161"/>
    </row>
    <row r="29" spans="1:9" ht="15.75" thickBot="1" x14ac:dyDescent="0.3">
      <c r="A29" s="117">
        <f>(175.48+271.71)</f>
        <v>447.18999999999994</v>
      </c>
      <c r="B29" s="118">
        <f>A29*0.85</f>
        <v>380.11149999999992</v>
      </c>
      <c r="C29" s="118">
        <f>(A29+15)*0.85</f>
        <v>392.86149999999992</v>
      </c>
      <c r="D29" s="118">
        <f>(A29+30)*0.85</f>
        <v>405.61149999999992</v>
      </c>
      <c r="E29" s="119">
        <f>(A29+45)*0.85</f>
        <v>418.36149999999992</v>
      </c>
      <c r="H29" s="161"/>
    </row>
    <row r="30" spans="1:9" x14ac:dyDescent="0.25">
      <c r="A30" s="450" t="s">
        <v>1</v>
      </c>
      <c r="B30" s="451" t="s">
        <v>125</v>
      </c>
      <c r="C30" s="451" t="s">
        <v>25</v>
      </c>
      <c r="D30" s="483" t="s">
        <v>59</v>
      </c>
      <c r="E30" s="336"/>
      <c r="F30" s="278"/>
      <c r="G30" s="278"/>
    </row>
    <row r="31" spans="1:9" x14ac:dyDescent="0.25">
      <c r="A31" s="455">
        <f>A11</f>
        <v>42370</v>
      </c>
      <c r="B31" s="456">
        <f>SUM(B11:D11)</f>
        <v>111193</v>
      </c>
      <c r="C31" s="457">
        <f>(IF(D31=1,$B$29,IF(D31=2,$C$29,IF(D31=3,$D29,$E$29)))*B31)/1000</f>
        <v>42265.738019499993</v>
      </c>
      <c r="D31" s="484">
        <v>1</v>
      </c>
      <c r="E31" s="485"/>
      <c r="F31" s="486"/>
      <c r="G31" s="486"/>
    </row>
    <row r="32" spans="1:9" x14ac:dyDescent="0.25">
      <c r="A32" s="455">
        <f t="shared" ref="A32:A42" si="4">A12</f>
        <v>42401</v>
      </c>
      <c r="B32" s="456">
        <f>SUM(B12:D12)</f>
        <v>119375</v>
      </c>
      <c r="C32" s="457">
        <f>(IF(D32=1,$B$29,IF(D32=2,$C$29,IF(D32=3,$C30,$E$29)))*B32)/1000</f>
        <v>45375.810312499991</v>
      </c>
      <c r="D32" s="484">
        <v>1</v>
      </c>
      <c r="E32" s="485"/>
      <c r="F32" s="486"/>
      <c r="G32" s="486"/>
    </row>
    <row r="33" spans="1:9" x14ac:dyDescent="0.25">
      <c r="A33" s="455">
        <f t="shared" si="4"/>
        <v>42430</v>
      </c>
      <c r="B33" s="456">
        <f>SUM(B13:D13)</f>
        <v>151384</v>
      </c>
      <c r="C33" s="457">
        <f>(IF(D33=1,$B$29,IF(D33=2,$C$29,IF(D33=3,$C31,$E$29)))*B33)/1000</f>
        <v>57542.799315999982</v>
      </c>
      <c r="D33" s="484">
        <v>1</v>
      </c>
      <c r="E33" s="485"/>
      <c r="F33" s="486"/>
      <c r="G33" s="486"/>
    </row>
    <row r="34" spans="1:9" x14ac:dyDescent="0.25">
      <c r="A34" s="455">
        <f t="shared" si="4"/>
        <v>42461</v>
      </c>
      <c r="B34" s="456">
        <f>SUM(B14:D14)</f>
        <v>152559</v>
      </c>
      <c r="C34" s="457">
        <f>(IF(D34=1,$B$29,IF(D34=2,$C$29,IF(D34=3,$C32,$E$29)))*B34)/1000</f>
        <v>57989.430328499984</v>
      </c>
      <c r="D34" s="484">
        <v>1</v>
      </c>
      <c r="E34" s="485"/>
      <c r="F34" s="486"/>
      <c r="G34" s="486"/>
    </row>
    <row r="35" spans="1:9" x14ac:dyDescent="0.25">
      <c r="A35" s="455">
        <f t="shared" si="4"/>
        <v>42491</v>
      </c>
      <c r="B35" s="456">
        <f>SUM(B15:D15)</f>
        <v>132964</v>
      </c>
      <c r="C35" s="457">
        <f>(IF(D35=1,$B$29,IF(D35=2,$C$29,IF(D35=3,$C33,$E$29)))*B35)/1000</f>
        <v>50541.145485999987</v>
      </c>
      <c r="D35" s="484">
        <v>1</v>
      </c>
      <c r="E35" s="485"/>
      <c r="F35" s="486"/>
      <c r="G35" s="486"/>
    </row>
    <row r="36" spans="1:9" x14ac:dyDescent="0.25">
      <c r="A36" s="455">
        <f t="shared" si="4"/>
        <v>42522</v>
      </c>
      <c r="B36" s="456">
        <f>SUM(B16:D16)</f>
        <v>135476</v>
      </c>
      <c r="C36" s="457">
        <f>(IF(D36=1,$B$29,IF(D36=2,$C$29,IF(D36=3,$C34,$E$29)))*B36)/1000</f>
        <v>51495.985573999984</v>
      </c>
      <c r="D36" s="484">
        <v>1</v>
      </c>
      <c r="E36" s="485"/>
      <c r="F36" s="486"/>
      <c r="G36" s="486"/>
    </row>
    <row r="37" spans="1:9" x14ac:dyDescent="0.25">
      <c r="A37" s="455">
        <f t="shared" si="4"/>
        <v>42552</v>
      </c>
      <c r="B37" s="456">
        <f>SUM(B17:D17)</f>
        <v>101789</v>
      </c>
      <c r="C37" s="457">
        <f>(IF(D37=1,$B$29,IF(D37=2,$C$29,IF(D37=3,$C35,$E$29)))*B37)/1000</f>
        <v>38691.169473499991</v>
      </c>
      <c r="D37" s="484">
        <v>1</v>
      </c>
      <c r="E37" s="485"/>
      <c r="F37" s="486"/>
      <c r="G37" s="486"/>
    </row>
    <row r="38" spans="1:9" x14ac:dyDescent="0.25">
      <c r="A38" s="455">
        <f t="shared" si="4"/>
        <v>42583</v>
      </c>
      <c r="B38" s="456">
        <f>SUM(B18:D18)</f>
        <v>87300</v>
      </c>
      <c r="C38" s="457">
        <f>(IF(D38=1,$B$29,IF(D38=2,$C$29,IF(D38=3,$C36,$E$29)))*B38)/1000</f>
        <v>33183.733949999994</v>
      </c>
      <c r="D38" s="484">
        <v>1</v>
      </c>
      <c r="E38" s="485"/>
      <c r="F38" s="486"/>
      <c r="G38" s="486"/>
    </row>
    <row r="39" spans="1:9" x14ac:dyDescent="0.25">
      <c r="A39" s="455">
        <f t="shared" si="4"/>
        <v>42614</v>
      </c>
      <c r="B39" s="456">
        <f>SUM(B19:D19)</f>
        <v>131634</v>
      </c>
      <c r="C39" s="457">
        <f>(IF(D39=1,$B$29,IF(D39=2,$C$29,IF(D39=3,$C37,$E$29)))*B39)/1000</f>
        <v>50035.597190999993</v>
      </c>
      <c r="D39" s="484">
        <v>1</v>
      </c>
      <c r="E39" s="485"/>
      <c r="F39" s="486"/>
      <c r="G39" s="486"/>
    </row>
    <row r="40" spans="1:9" x14ac:dyDescent="0.25">
      <c r="A40" s="455">
        <f t="shared" si="4"/>
        <v>42644</v>
      </c>
      <c r="B40" s="456">
        <f>SUM(B20:D20)</f>
        <v>113626</v>
      </c>
      <c r="C40" s="457">
        <f>(IF(D40=1,$B$29,IF(D40=2,$C$29,IF(D40=3,$C38,$E$29)))*B40)/1000</f>
        <v>43190.549298999991</v>
      </c>
      <c r="D40" s="484">
        <v>1</v>
      </c>
      <c r="E40" s="485"/>
      <c r="F40" s="486"/>
      <c r="G40" s="486"/>
    </row>
    <row r="41" spans="1:9" x14ac:dyDescent="0.25">
      <c r="A41" s="455">
        <f t="shared" si="4"/>
        <v>42675</v>
      </c>
      <c r="B41" s="456">
        <f>SUM(B21:D21)</f>
        <v>130852</v>
      </c>
      <c r="C41" s="457">
        <f>(IF(D41=1,$B$29,IF(D41=2,$C$29,IF(D41=3,$C39,$E$29)))*B41)/1000</f>
        <v>49738.349997999991</v>
      </c>
      <c r="D41" s="484">
        <v>1</v>
      </c>
      <c r="E41" s="485"/>
      <c r="F41" s="486"/>
      <c r="G41" s="486"/>
    </row>
    <row r="42" spans="1:9" ht="15.75" thickBot="1" x14ac:dyDescent="0.3">
      <c r="A42" s="455">
        <f t="shared" si="4"/>
        <v>42705</v>
      </c>
      <c r="B42" s="463">
        <f>SUM(B22:D22)</f>
        <v>142240</v>
      </c>
      <c r="C42" s="457">
        <f>(IF(D42=1,$B$29,IF(D42=2,$C$29,IF(D42=3,$C40,$E$29)))*B42)/1000</f>
        <v>54067.059759999989</v>
      </c>
      <c r="D42" s="484">
        <v>1</v>
      </c>
      <c r="E42" s="485"/>
      <c r="F42" s="486"/>
      <c r="G42" s="486"/>
    </row>
    <row r="43" spans="1:9" s="325" customFormat="1" ht="15.75" thickBot="1" x14ac:dyDescent="0.3">
      <c r="A43" s="487" t="s">
        <v>13</v>
      </c>
      <c r="B43" s="488"/>
      <c r="C43" s="466">
        <f>SUM(C31:C42)</f>
        <v>574117.36870799994</v>
      </c>
      <c r="D43" s="489"/>
      <c r="E43" s="490"/>
      <c r="F43" s="491"/>
      <c r="G43" s="491"/>
      <c r="I43" s="126"/>
    </row>
    <row r="44" spans="1:9" s="242" customFormat="1" ht="16.5" thickBot="1" x14ac:dyDescent="0.3">
      <c r="A44" s="492"/>
      <c r="B44" s="493"/>
      <c r="C44" s="473" t="s">
        <v>127</v>
      </c>
      <c r="D44" s="494">
        <f>C43</f>
        <v>574117.36870799994</v>
      </c>
      <c r="E44" s="495"/>
      <c r="F44" s="415"/>
      <c r="G44" s="415"/>
      <c r="I44" s="126"/>
    </row>
  </sheetData>
  <sheetProtection sheet="1" objects="1" scenarios="1"/>
  <mergeCells count="19">
    <mergeCell ref="A26:E26"/>
    <mergeCell ref="A27:E27"/>
    <mergeCell ref="A4:H4"/>
    <mergeCell ref="A3:H3"/>
    <mergeCell ref="A2:H2"/>
    <mergeCell ref="A43:B43"/>
    <mergeCell ref="G25:H25"/>
    <mergeCell ref="E6:F6"/>
    <mergeCell ref="E7:F7"/>
    <mergeCell ref="E8:F8"/>
    <mergeCell ref="E9:F9"/>
    <mergeCell ref="G6:H6"/>
    <mergeCell ref="G7:H7"/>
    <mergeCell ref="G8:H8"/>
    <mergeCell ref="G9:H9"/>
    <mergeCell ref="A1:G1"/>
    <mergeCell ref="A23:D23"/>
    <mergeCell ref="G24:H24"/>
    <mergeCell ref="A5:H5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9" r:id="rId4" name="Drop Down 25">
              <controlPr defaultSize="0" autoLine="0" autoPict="0">
                <anchor moveWithCells="1">
                  <from>
                    <xdr:col>3</xdr:col>
                    <xdr:colOff>9525</xdr:colOff>
                    <xdr:row>30</xdr:row>
                    <xdr:rowOff>0</xdr:rowOff>
                  </from>
                  <to>
                    <xdr:col>3</xdr:col>
                    <xdr:colOff>3152775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5" name="Drop Down 26">
              <controlPr defaultSize="0" autoLine="0" autoPict="0">
                <anchor moveWithCells="1">
                  <from>
                    <xdr:col>3</xdr:col>
                    <xdr:colOff>9525</xdr:colOff>
                    <xdr:row>31</xdr:row>
                    <xdr:rowOff>0</xdr:rowOff>
                  </from>
                  <to>
                    <xdr:col>3</xdr:col>
                    <xdr:colOff>3152775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6" name="Drop Down 27">
              <controlPr defaultSize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3</xdr:col>
                    <xdr:colOff>3152775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7" name="Drop Down 28">
              <controlPr defaultSize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3</xdr:col>
                    <xdr:colOff>3152775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8" name="Drop Down 29">
              <controlPr defaultSize="0" autoLine="0" autoPict="0">
                <anchor moveWithCells="1">
                  <from>
                    <xdr:col>3</xdr:col>
                    <xdr:colOff>9525</xdr:colOff>
                    <xdr:row>34</xdr:row>
                    <xdr:rowOff>19050</xdr:rowOff>
                  </from>
                  <to>
                    <xdr:col>3</xdr:col>
                    <xdr:colOff>3152775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9" name="Drop Down 30">
              <controlPr defaultSize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3152775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0" name="Drop Down 31">
              <controlPr defaultSize="0" autoLine="0" autoPict="0">
                <anchor moveWithCells="1">
                  <from>
                    <xdr:col>3</xdr:col>
                    <xdr:colOff>9525</xdr:colOff>
                    <xdr:row>36</xdr:row>
                    <xdr:rowOff>9525</xdr:rowOff>
                  </from>
                  <to>
                    <xdr:col>3</xdr:col>
                    <xdr:colOff>3143250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1" name="Drop Down 32">
              <controlPr defaultSize="0" autoLin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3</xdr:col>
                    <xdr:colOff>3152775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2" name="Drop Down 33">
              <controlPr defaultSize="0" autoLine="0" autoPict="0">
                <anchor moveWithCells="1">
                  <from>
                    <xdr:col>3</xdr:col>
                    <xdr:colOff>9525</xdr:colOff>
                    <xdr:row>38</xdr:row>
                    <xdr:rowOff>19050</xdr:rowOff>
                  </from>
                  <to>
                    <xdr:col>3</xdr:col>
                    <xdr:colOff>3143250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3" name="Drop Down 34">
              <controlPr defaultSize="0" autoLine="0" autoPict="0">
                <anchor moveWithCells="1">
                  <from>
                    <xdr:col>3</xdr:col>
                    <xdr:colOff>9525</xdr:colOff>
                    <xdr:row>39</xdr:row>
                    <xdr:rowOff>9525</xdr:rowOff>
                  </from>
                  <to>
                    <xdr:col>3</xdr:col>
                    <xdr:colOff>3152775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4" name="Drop Down 35">
              <controlPr defaultSize="0" autoLine="0" autoPict="0">
                <anchor mov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3</xdr:col>
                    <xdr:colOff>3152775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5" name="Drop Down 36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180975</xdr:rowOff>
                  </from>
                  <to>
                    <xdr:col>3</xdr:col>
                    <xdr:colOff>3152775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6" name="Drop Down 40">
              <controlPr defaultSize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1943100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7" name="Drop Down 41">
              <controlPr defaultSize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1943100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8" name="Drop Down 42">
              <controlPr defaultSize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1943100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9" name="Drop Down 43">
              <controlPr defaultSize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1943100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0" name="Drop Down 44">
              <controlPr defaultSize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1943100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1" name="Drop Down 45">
              <controlPr defaultSize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1943100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2" name="Drop Down 46">
              <controlPr defaultSize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1943100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3" name="Drop Down 47">
              <controlPr defaultSize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1943100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4" name="Drop Down 48">
              <controlPr defaultSize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1943100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5" name="Drop Down 49">
              <controlPr defaultSize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1943100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6" name="Drop Down 50">
              <controlPr defaultSize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1943100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7" name="Drop Down 51">
              <controlPr defaultSize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1943100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="110" zoomScaleNormal="110" workbookViewId="0">
      <selection activeCell="F4" sqref="F4 C46"/>
    </sheetView>
  </sheetViews>
  <sheetFormatPr defaultRowHeight="15" x14ac:dyDescent="0.25"/>
  <cols>
    <col min="1" max="4" width="12.7109375" customWidth="1"/>
    <col min="5" max="5" width="16.85546875" bestFit="1" customWidth="1"/>
    <col min="6" max="6" width="13.7109375" customWidth="1"/>
    <col min="7" max="7" width="14" customWidth="1"/>
  </cols>
  <sheetData>
    <row r="1" spans="1:11" ht="55.5" customHeight="1" x14ac:dyDescent="0.25">
      <c r="A1" s="75"/>
      <c r="B1" s="75"/>
      <c r="C1" s="75"/>
      <c r="D1" s="75"/>
      <c r="E1" s="75"/>
      <c r="F1" s="75"/>
      <c r="G1" s="75"/>
      <c r="H1" s="1"/>
      <c r="I1" s="1"/>
      <c r="J1" s="1"/>
      <c r="K1" s="1"/>
    </row>
    <row r="2" spans="1:11" ht="30" customHeight="1" thickBot="1" x14ac:dyDescent="0.3">
      <c r="A2" s="76" t="s">
        <v>92</v>
      </c>
      <c r="B2" s="76"/>
      <c r="C2" s="76"/>
      <c r="D2" s="76"/>
      <c r="E2" s="76"/>
      <c r="F2" s="76"/>
      <c r="G2" s="76"/>
      <c r="H2" s="1"/>
      <c r="I2" s="1"/>
      <c r="J2" s="1"/>
      <c r="K2" s="1"/>
    </row>
    <row r="3" spans="1:11" ht="15.75" thickBot="1" x14ac:dyDescent="0.3">
      <c r="A3" s="78" t="s">
        <v>46</v>
      </c>
      <c r="B3" s="79"/>
      <c r="C3" s="79"/>
      <c r="D3" s="79"/>
      <c r="E3" s="79"/>
      <c r="F3" s="79"/>
      <c r="G3" s="80"/>
      <c r="H3" s="1"/>
      <c r="I3" s="1"/>
      <c r="J3" s="1"/>
      <c r="K3" s="1"/>
    </row>
    <row r="4" spans="1:11" ht="15.75" thickBot="1" x14ac:dyDescent="0.3">
      <c r="A4" s="95" t="s">
        <v>47</v>
      </c>
      <c r="B4" s="96"/>
      <c r="C4" s="25" t="s">
        <v>51</v>
      </c>
      <c r="D4" s="26">
        <f>'Modalidade Azul'!E7</f>
        <v>46.38</v>
      </c>
      <c r="E4" s="25" t="s">
        <v>52</v>
      </c>
      <c r="F4" s="26">
        <f>'Modalidade Azul'!D7</f>
        <v>19.711500000000001</v>
      </c>
      <c r="G4" s="27"/>
      <c r="H4" s="1"/>
      <c r="I4" s="1"/>
      <c r="J4" s="1"/>
      <c r="K4" s="1"/>
    </row>
    <row r="5" spans="1:11" ht="15.75" customHeight="1" thickBot="1" x14ac:dyDescent="0.3">
      <c r="A5" s="28" t="s">
        <v>1</v>
      </c>
      <c r="B5" s="29" t="s">
        <v>2</v>
      </c>
      <c r="C5" s="29" t="s">
        <v>45</v>
      </c>
      <c r="D5" s="29" t="s">
        <v>49</v>
      </c>
      <c r="E5" s="30" t="s">
        <v>50</v>
      </c>
      <c r="F5" s="11" t="s">
        <v>3</v>
      </c>
      <c r="G5" s="11" t="s">
        <v>4</v>
      </c>
      <c r="H5" s="1"/>
      <c r="I5" s="1"/>
      <c r="J5" s="1"/>
      <c r="K5" s="1"/>
    </row>
    <row r="6" spans="1:11" x14ac:dyDescent="0.25">
      <c r="A6" s="31">
        <f>'Modalidade Azul'!A10</f>
        <v>42370</v>
      </c>
      <c r="B6" s="8">
        <f>'Modalidade Azul'!B10</f>
        <v>422.8</v>
      </c>
      <c r="C6" s="32">
        <f t="shared" ref="C6:C17" si="0">B6-$F$6</f>
        <v>-173.7</v>
      </c>
      <c r="D6" s="32">
        <f t="shared" ref="D6:D17" si="1">IF(C6&gt;0,$D$40*C6,0)</f>
        <v>0</v>
      </c>
      <c r="E6" s="33">
        <f t="shared" ref="E6:E17" si="2">IF(C6&lt;0,-$F$4*C6,0)</f>
        <v>3423.8875499999999</v>
      </c>
      <c r="F6" s="51">
        <f>MAX(B6:B17)</f>
        <v>596.5</v>
      </c>
      <c r="G6" s="37">
        <f>F6/(1+G7)</f>
        <v>568.09523809523807</v>
      </c>
      <c r="H6" s="1"/>
      <c r="I6" s="1"/>
      <c r="J6" s="1"/>
      <c r="K6" s="1"/>
    </row>
    <row r="7" spans="1:11" x14ac:dyDescent="0.25">
      <c r="A7" s="31">
        <f>'Modalidade Azul'!A11</f>
        <v>42401</v>
      </c>
      <c r="B7" s="8">
        <f>'Modalidade Azul'!B11</f>
        <v>533.4</v>
      </c>
      <c r="C7" s="32">
        <f t="shared" si="0"/>
        <v>-63.100000000000023</v>
      </c>
      <c r="D7" s="32">
        <f t="shared" si="1"/>
        <v>0</v>
      </c>
      <c r="E7" s="33">
        <f t="shared" si="2"/>
        <v>1243.7956500000005</v>
      </c>
      <c r="F7" s="88" t="s">
        <v>87</v>
      </c>
      <c r="G7" s="90">
        <f>'Demanda Contratada'!D6</f>
        <v>0.05</v>
      </c>
      <c r="H7" s="1"/>
      <c r="I7" s="1"/>
      <c r="J7" s="1"/>
      <c r="K7" s="1"/>
    </row>
    <row r="8" spans="1:11" x14ac:dyDescent="0.25">
      <c r="A8" s="31">
        <f>'Modalidade Azul'!A12</f>
        <v>42430</v>
      </c>
      <c r="B8" s="8">
        <f>'Modalidade Azul'!B12</f>
        <v>572</v>
      </c>
      <c r="C8" s="32">
        <f t="shared" si="0"/>
        <v>-24.5</v>
      </c>
      <c r="D8" s="32">
        <f t="shared" si="1"/>
        <v>0</v>
      </c>
      <c r="E8" s="33">
        <f t="shared" si="2"/>
        <v>482.93175000000002</v>
      </c>
      <c r="F8" s="88"/>
      <c r="G8" s="90"/>
      <c r="H8" s="1"/>
      <c r="I8" s="1"/>
      <c r="J8" s="1"/>
      <c r="K8" s="1"/>
    </row>
    <row r="9" spans="1:11" ht="15.75" thickBot="1" x14ac:dyDescent="0.3">
      <c r="A9" s="31">
        <f>'Modalidade Azul'!A13</f>
        <v>42461</v>
      </c>
      <c r="B9" s="8">
        <f>'Modalidade Azul'!B13</f>
        <v>596.5</v>
      </c>
      <c r="C9" s="32">
        <f t="shared" si="0"/>
        <v>0</v>
      </c>
      <c r="D9" s="32">
        <f t="shared" si="1"/>
        <v>0</v>
      </c>
      <c r="E9" s="33">
        <f t="shared" si="2"/>
        <v>0</v>
      </c>
      <c r="F9" s="89"/>
      <c r="G9" s="91"/>
      <c r="H9" s="1"/>
      <c r="I9" s="1"/>
      <c r="J9" s="1"/>
      <c r="K9" s="1"/>
    </row>
    <row r="10" spans="1:11" x14ac:dyDescent="0.25">
      <c r="A10" s="31">
        <f>'Modalidade Azul'!A14</f>
        <v>42491</v>
      </c>
      <c r="B10" s="8">
        <f>'Modalidade Azul'!B14</f>
        <v>557.29999999999995</v>
      </c>
      <c r="C10" s="32">
        <f t="shared" si="0"/>
        <v>-39.200000000000045</v>
      </c>
      <c r="D10" s="32">
        <f t="shared" si="1"/>
        <v>0</v>
      </c>
      <c r="E10" s="33">
        <f t="shared" si="2"/>
        <v>772.69080000000088</v>
      </c>
      <c r="F10" s="3"/>
      <c r="G10" s="2"/>
      <c r="H10" s="1"/>
      <c r="I10" s="1"/>
      <c r="J10" s="1"/>
      <c r="K10" s="1"/>
    </row>
    <row r="11" spans="1:11" x14ac:dyDescent="0.25">
      <c r="A11" s="31">
        <f>'Modalidade Azul'!A15</f>
        <v>42522</v>
      </c>
      <c r="B11" s="8">
        <f>'Modalidade Azul'!B15</f>
        <v>434.9</v>
      </c>
      <c r="C11" s="32">
        <f t="shared" si="0"/>
        <v>-161.60000000000002</v>
      </c>
      <c r="D11" s="32">
        <f t="shared" si="1"/>
        <v>0</v>
      </c>
      <c r="E11" s="33">
        <f t="shared" si="2"/>
        <v>3185.3784000000005</v>
      </c>
      <c r="F11" s="3"/>
      <c r="G11" s="2"/>
      <c r="H11" s="1"/>
      <c r="I11" s="1"/>
      <c r="J11" s="1"/>
      <c r="K11" s="1"/>
    </row>
    <row r="12" spans="1:11" x14ac:dyDescent="0.25">
      <c r="A12" s="31">
        <f>'Modalidade Azul'!A16</f>
        <v>42552</v>
      </c>
      <c r="B12" s="8">
        <f>'Modalidade Azul'!B16</f>
        <v>432.6</v>
      </c>
      <c r="C12" s="32">
        <f t="shared" si="0"/>
        <v>-163.89999999999998</v>
      </c>
      <c r="D12" s="32">
        <f t="shared" si="1"/>
        <v>0</v>
      </c>
      <c r="E12" s="33">
        <f t="shared" si="2"/>
        <v>3230.7148499999998</v>
      </c>
      <c r="F12" s="3"/>
      <c r="G12" s="2"/>
      <c r="H12" s="1"/>
      <c r="I12" s="1"/>
      <c r="J12" s="1"/>
      <c r="K12" s="1"/>
    </row>
    <row r="13" spans="1:11" x14ac:dyDescent="0.25">
      <c r="A13" s="31">
        <f>'Modalidade Azul'!A17</f>
        <v>42583</v>
      </c>
      <c r="B13" s="8">
        <f>'Modalidade Azul'!B17</f>
        <v>428.8</v>
      </c>
      <c r="C13" s="32">
        <f t="shared" si="0"/>
        <v>-167.7</v>
      </c>
      <c r="D13" s="32">
        <f t="shared" si="1"/>
        <v>0</v>
      </c>
      <c r="E13" s="33">
        <f t="shared" si="2"/>
        <v>3305.6185500000001</v>
      </c>
      <c r="F13" s="2"/>
      <c r="G13" s="2"/>
      <c r="H13" s="1"/>
      <c r="I13" s="1"/>
      <c r="J13" s="1"/>
      <c r="K13" s="1"/>
    </row>
    <row r="14" spans="1:11" x14ac:dyDescent="0.25">
      <c r="A14" s="31">
        <f>'Modalidade Azul'!A18</f>
        <v>42614</v>
      </c>
      <c r="B14" s="8">
        <f>'Modalidade Azul'!B18</f>
        <v>503.1</v>
      </c>
      <c r="C14" s="32">
        <f t="shared" si="0"/>
        <v>-93.399999999999977</v>
      </c>
      <c r="D14" s="32">
        <f t="shared" si="1"/>
        <v>0</v>
      </c>
      <c r="E14" s="33">
        <f t="shared" si="2"/>
        <v>1841.0540999999996</v>
      </c>
      <c r="F14" s="2"/>
      <c r="G14" s="4"/>
      <c r="H14" s="1"/>
      <c r="I14" s="1"/>
      <c r="J14" s="1"/>
      <c r="K14" s="1"/>
    </row>
    <row r="15" spans="1:11" x14ac:dyDescent="0.25">
      <c r="A15" s="31">
        <f>'Modalidade Azul'!A19</f>
        <v>42644</v>
      </c>
      <c r="B15" s="8">
        <f>'Modalidade Azul'!B19</f>
        <v>463.1</v>
      </c>
      <c r="C15" s="32">
        <f t="shared" si="0"/>
        <v>-133.39999999999998</v>
      </c>
      <c r="D15" s="32">
        <f t="shared" si="1"/>
        <v>0</v>
      </c>
      <c r="E15" s="33">
        <f t="shared" si="2"/>
        <v>2629.5140999999999</v>
      </c>
      <c r="F15" s="2"/>
      <c r="G15" s="2"/>
      <c r="H15" s="1"/>
      <c r="I15" s="1"/>
      <c r="J15" s="1"/>
      <c r="K15" s="1"/>
    </row>
    <row r="16" spans="1:11" x14ac:dyDescent="0.25">
      <c r="A16" s="31">
        <f>'Modalidade Azul'!A20</f>
        <v>42675</v>
      </c>
      <c r="B16" s="8">
        <f>'Modalidade Azul'!B20</f>
        <v>581.1</v>
      </c>
      <c r="C16" s="32">
        <f t="shared" si="0"/>
        <v>-15.399999999999977</v>
      </c>
      <c r="D16" s="32">
        <f t="shared" si="1"/>
        <v>0</v>
      </c>
      <c r="E16" s="33">
        <f t="shared" si="2"/>
        <v>303.55709999999959</v>
      </c>
      <c r="F16" s="2"/>
      <c r="G16" s="2"/>
      <c r="H16" s="1"/>
      <c r="I16" s="1"/>
      <c r="J16" s="1"/>
      <c r="K16" s="1"/>
    </row>
    <row r="17" spans="1:11" ht="15.75" thickBot="1" x14ac:dyDescent="0.3">
      <c r="A17" s="31">
        <f>'Modalidade Azul'!A21</f>
        <v>42705</v>
      </c>
      <c r="B17" s="34">
        <f>'Modalidade Azul'!B21</f>
        <v>581.1</v>
      </c>
      <c r="C17" s="35">
        <f t="shared" si="0"/>
        <v>-15.399999999999977</v>
      </c>
      <c r="D17" s="35">
        <f t="shared" si="1"/>
        <v>0</v>
      </c>
      <c r="E17" s="36">
        <f t="shared" si="2"/>
        <v>303.55709999999959</v>
      </c>
      <c r="F17" s="2"/>
      <c r="G17" s="2"/>
      <c r="H17" s="1"/>
      <c r="I17" s="1"/>
      <c r="J17" s="1"/>
      <c r="K17" s="1"/>
    </row>
    <row r="18" spans="1:11" s="17" customFormat="1" ht="15.75" thickBot="1" x14ac:dyDescent="0.3">
      <c r="A18" s="82" t="s">
        <v>89</v>
      </c>
      <c r="B18" s="83"/>
      <c r="C18" s="83"/>
      <c r="D18" s="83"/>
      <c r="E18" s="52">
        <f>SUM(E6:E17)</f>
        <v>20722.699949999998</v>
      </c>
      <c r="F18" s="53"/>
      <c r="G18" s="53"/>
      <c r="H18" s="16"/>
      <c r="I18" s="16"/>
      <c r="J18" s="16"/>
      <c r="K18" s="16"/>
    </row>
    <row r="19" spans="1:11" ht="5.25" customHeight="1" thickBot="1" x14ac:dyDescent="0.3">
      <c r="A19" s="11"/>
      <c r="B19" s="11"/>
      <c r="C19" s="11"/>
      <c r="D19" s="11"/>
      <c r="E19" s="11"/>
      <c r="F19" s="11"/>
      <c r="G19" s="11"/>
      <c r="H19" s="1"/>
      <c r="I19" s="1"/>
      <c r="J19" s="1"/>
      <c r="K19" s="1"/>
    </row>
    <row r="20" spans="1:11" ht="15.75" thickBot="1" x14ac:dyDescent="0.3">
      <c r="A20" s="38" t="s">
        <v>48</v>
      </c>
      <c r="B20" s="25"/>
      <c r="C20" s="25" t="s">
        <v>51</v>
      </c>
      <c r="D20" s="26">
        <f>'Modalidade Azul'!G7</f>
        <v>16.22</v>
      </c>
      <c r="E20" s="25" t="s">
        <v>52</v>
      </c>
      <c r="F20" s="26">
        <f>'Modalidade Azul'!F7</f>
        <v>6.8934999999999995</v>
      </c>
      <c r="G20" s="27"/>
      <c r="H20" s="1"/>
      <c r="I20" s="1"/>
      <c r="J20" s="1"/>
      <c r="K20" s="1"/>
    </row>
    <row r="21" spans="1:11" ht="15.75" thickBot="1" x14ac:dyDescent="0.3">
      <c r="A21" s="11" t="s">
        <v>1</v>
      </c>
      <c r="B21" s="11" t="s">
        <v>2</v>
      </c>
      <c r="C21" s="11" t="s">
        <v>45</v>
      </c>
      <c r="D21" s="11" t="s">
        <v>49</v>
      </c>
      <c r="E21" s="45" t="s">
        <v>50</v>
      </c>
      <c r="F21" s="47" t="s">
        <v>3</v>
      </c>
      <c r="G21" s="48" t="s">
        <v>4</v>
      </c>
      <c r="H21" s="1"/>
      <c r="I21" s="1"/>
      <c r="J21" s="1"/>
      <c r="K21" s="1"/>
    </row>
    <row r="22" spans="1:11" x14ac:dyDescent="0.25">
      <c r="A22" s="39">
        <f>'Modalidade Azul'!A10</f>
        <v>42370</v>
      </c>
      <c r="B22" s="40">
        <f>'Modalidade Azul'!F10</f>
        <v>439.8</v>
      </c>
      <c r="C22" s="41">
        <f t="shared" ref="C22:C33" si="3">B22-$F$22</f>
        <v>-95.599999999999966</v>
      </c>
      <c r="D22" s="41">
        <f t="shared" ref="D22:D33" si="4">IF(C23&gt;0,$D$20*C23,0)</f>
        <v>0</v>
      </c>
      <c r="E22" s="46">
        <f t="shared" ref="E22:E33" si="5">IF(C22&lt;0,-$F$4*C22,0)</f>
        <v>1884.4193999999993</v>
      </c>
      <c r="F22" s="49">
        <f>MAX(B22:B33)</f>
        <v>535.4</v>
      </c>
      <c r="G22" s="50">
        <f>F22/(1+G23)</f>
        <v>509.90476190476187</v>
      </c>
      <c r="H22" s="1"/>
      <c r="I22" s="1"/>
      <c r="J22" s="1"/>
      <c r="K22" s="1"/>
    </row>
    <row r="23" spans="1:11" x14ac:dyDescent="0.25">
      <c r="A23" s="7">
        <f>'Modalidade Azul'!A11</f>
        <v>42401</v>
      </c>
      <c r="B23" s="8">
        <f>'Modalidade Azul'!F11</f>
        <v>501.7</v>
      </c>
      <c r="C23" s="32">
        <f t="shared" si="3"/>
        <v>-33.699999999999989</v>
      </c>
      <c r="D23" s="32">
        <f t="shared" si="4"/>
        <v>0</v>
      </c>
      <c r="E23" s="33">
        <f t="shared" si="5"/>
        <v>664.27754999999979</v>
      </c>
      <c r="F23" s="88" t="s">
        <v>87</v>
      </c>
      <c r="G23" s="90">
        <f>'Demanda Contratada'!D6</f>
        <v>0.05</v>
      </c>
      <c r="H23" s="1"/>
      <c r="I23" s="1"/>
      <c r="J23" s="1"/>
      <c r="K23" s="1"/>
    </row>
    <row r="24" spans="1:11" x14ac:dyDescent="0.25">
      <c r="A24" s="7">
        <f>'Modalidade Azul'!A12</f>
        <v>42430</v>
      </c>
      <c r="B24" s="8">
        <f>'Modalidade Azul'!F12</f>
        <v>518.4</v>
      </c>
      <c r="C24" s="32">
        <f t="shared" si="3"/>
        <v>-17</v>
      </c>
      <c r="D24" s="32">
        <f t="shared" si="4"/>
        <v>0</v>
      </c>
      <c r="E24" s="33">
        <f t="shared" si="5"/>
        <v>335.09550000000002</v>
      </c>
      <c r="F24" s="88"/>
      <c r="G24" s="90"/>
      <c r="H24" s="1"/>
      <c r="I24" s="1"/>
      <c r="J24" s="1"/>
      <c r="K24" s="1"/>
    </row>
    <row r="25" spans="1:11" ht="15.75" thickBot="1" x14ac:dyDescent="0.3">
      <c r="A25" s="7">
        <f>'Modalidade Azul'!A13</f>
        <v>42461</v>
      </c>
      <c r="B25" s="8">
        <f>'Modalidade Azul'!F13</f>
        <v>535.4</v>
      </c>
      <c r="C25" s="32">
        <f t="shared" si="3"/>
        <v>0</v>
      </c>
      <c r="D25" s="32">
        <f t="shared" si="4"/>
        <v>0</v>
      </c>
      <c r="E25" s="33">
        <f t="shared" si="5"/>
        <v>0</v>
      </c>
      <c r="F25" s="89"/>
      <c r="G25" s="91"/>
      <c r="H25" s="1"/>
      <c r="I25" s="1"/>
      <c r="J25" s="1"/>
      <c r="K25" s="1"/>
    </row>
    <row r="26" spans="1:11" x14ac:dyDescent="0.25">
      <c r="A26" s="7">
        <f>'Modalidade Azul'!A14</f>
        <v>42491</v>
      </c>
      <c r="B26" s="8">
        <f>'Modalidade Azul'!F14</f>
        <v>508</v>
      </c>
      <c r="C26" s="32">
        <f t="shared" si="3"/>
        <v>-27.399999999999977</v>
      </c>
      <c r="D26" s="32">
        <f t="shared" si="4"/>
        <v>0</v>
      </c>
      <c r="E26" s="42">
        <f t="shared" si="5"/>
        <v>540.09509999999955</v>
      </c>
      <c r="F26" s="3"/>
      <c r="G26" s="2"/>
      <c r="H26" s="1"/>
      <c r="I26" s="1"/>
      <c r="J26" s="1"/>
      <c r="K26" s="1"/>
    </row>
    <row r="27" spans="1:11" x14ac:dyDescent="0.25">
      <c r="A27" s="7">
        <f>'Modalidade Azul'!A15</f>
        <v>42522</v>
      </c>
      <c r="B27" s="8">
        <f>'Modalidade Azul'!F15</f>
        <v>407.5</v>
      </c>
      <c r="C27" s="32">
        <f t="shared" si="3"/>
        <v>-127.89999999999998</v>
      </c>
      <c r="D27" s="32">
        <f t="shared" si="4"/>
        <v>0</v>
      </c>
      <c r="E27" s="42">
        <f t="shared" si="5"/>
        <v>2521.1008499999998</v>
      </c>
      <c r="F27" s="3"/>
      <c r="G27" s="2"/>
      <c r="H27" s="1"/>
      <c r="I27" s="1"/>
      <c r="J27" s="1"/>
      <c r="K27" s="1"/>
    </row>
    <row r="28" spans="1:11" x14ac:dyDescent="0.25">
      <c r="A28" s="7">
        <f>'Modalidade Azul'!A16</f>
        <v>42552</v>
      </c>
      <c r="B28" s="8">
        <f>'Modalidade Azul'!F16</f>
        <v>388.2</v>
      </c>
      <c r="C28" s="32">
        <f t="shared" si="3"/>
        <v>-147.19999999999999</v>
      </c>
      <c r="D28" s="32">
        <f t="shared" si="4"/>
        <v>0</v>
      </c>
      <c r="E28" s="42">
        <f t="shared" si="5"/>
        <v>2901.5328</v>
      </c>
      <c r="F28" s="3"/>
      <c r="G28" s="2"/>
      <c r="H28" s="1"/>
      <c r="I28" s="1"/>
      <c r="J28" s="1"/>
      <c r="K28" s="1"/>
    </row>
    <row r="29" spans="1:11" x14ac:dyDescent="0.25">
      <c r="A29" s="7">
        <f>'Modalidade Azul'!A17</f>
        <v>42583</v>
      </c>
      <c r="B29" s="8">
        <f>'Modalidade Azul'!F17</f>
        <v>368.6</v>
      </c>
      <c r="C29" s="32">
        <f t="shared" si="3"/>
        <v>-166.79999999999995</v>
      </c>
      <c r="D29" s="32">
        <f t="shared" si="4"/>
        <v>0</v>
      </c>
      <c r="E29" s="42">
        <f t="shared" si="5"/>
        <v>3287.8781999999992</v>
      </c>
      <c r="F29" s="2"/>
      <c r="G29" s="2"/>
      <c r="H29" s="1"/>
      <c r="I29" s="1"/>
      <c r="J29" s="1"/>
      <c r="K29" s="1"/>
    </row>
    <row r="30" spans="1:11" x14ac:dyDescent="0.25">
      <c r="A30" s="7">
        <f>'Modalidade Azul'!A18</f>
        <v>42614</v>
      </c>
      <c r="B30" s="8">
        <f>'Modalidade Azul'!F18</f>
        <v>484.4</v>
      </c>
      <c r="C30" s="32">
        <f t="shared" si="3"/>
        <v>-51</v>
      </c>
      <c r="D30" s="32">
        <f t="shared" si="4"/>
        <v>0</v>
      </c>
      <c r="E30" s="42">
        <f t="shared" si="5"/>
        <v>1005.2865</v>
      </c>
      <c r="F30" s="2"/>
      <c r="G30" s="4"/>
      <c r="H30" s="1"/>
      <c r="I30" s="1"/>
      <c r="J30" s="1"/>
      <c r="K30" s="1"/>
    </row>
    <row r="31" spans="1:11" x14ac:dyDescent="0.25">
      <c r="A31" s="7">
        <f>'Modalidade Azul'!A19</f>
        <v>42644</v>
      </c>
      <c r="B31" s="8">
        <f>'Modalidade Azul'!F19</f>
        <v>441.9</v>
      </c>
      <c r="C31" s="32">
        <f t="shared" si="3"/>
        <v>-93.5</v>
      </c>
      <c r="D31" s="32">
        <f t="shared" si="4"/>
        <v>0</v>
      </c>
      <c r="E31" s="42">
        <f t="shared" si="5"/>
        <v>1843.0252500000001</v>
      </c>
      <c r="F31" s="2"/>
      <c r="G31" s="2"/>
      <c r="H31" s="1"/>
      <c r="I31" s="1"/>
      <c r="J31" s="1"/>
      <c r="K31" s="1"/>
    </row>
    <row r="32" spans="1:11" x14ac:dyDescent="0.25">
      <c r="A32" s="7">
        <f>'Modalidade Azul'!A20</f>
        <v>42675</v>
      </c>
      <c r="B32" s="8">
        <f>'Modalidade Azul'!F20</f>
        <v>526.70000000000005</v>
      </c>
      <c r="C32" s="32">
        <f t="shared" si="3"/>
        <v>-8.6999999999999318</v>
      </c>
      <c r="D32" s="32">
        <f t="shared" si="4"/>
        <v>0</v>
      </c>
      <c r="E32" s="42">
        <f t="shared" si="5"/>
        <v>171.49004999999866</v>
      </c>
      <c r="F32" s="2"/>
      <c r="G32" s="2"/>
      <c r="H32" s="1"/>
      <c r="I32" s="1"/>
      <c r="J32" s="1"/>
      <c r="K32" s="1"/>
    </row>
    <row r="33" spans="1:11" ht="15.75" thickBot="1" x14ac:dyDescent="0.3">
      <c r="A33" s="9">
        <f>'Modalidade Azul'!A21</f>
        <v>42705</v>
      </c>
      <c r="B33" s="10">
        <f>'Modalidade Azul'!F21</f>
        <v>520.1</v>
      </c>
      <c r="C33" s="43">
        <f t="shared" si="3"/>
        <v>-15.299999999999955</v>
      </c>
      <c r="D33" s="43">
        <f t="shared" si="4"/>
        <v>0</v>
      </c>
      <c r="E33" s="44">
        <f t="shared" si="5"/>
        <v>301.58594999999912</v>
      </c>
      <c r="F33" s="2"/>
      <c r="G33" s="2"/>
      <c r="H33" s="1"/>
      <c r="I33" s="1"/>
      <c r="J33" s="1"/>
      <c r="K33" s="1"/>
    </row>
    <row r="34" spans="1:11" ht="15.75" thickBot="1" x14ac:dyDescent="0.3">
      <c r="A34" s="82" t="s">
        <v>89</v>
      </c>
      <c r="B34" s="83"/>
      <c r="C34" s="83"/>
      <c r="D34" s="83"/>
      <c r="E34" s="52">
        <f>SUM(E22:E33)</f>
        <v>15455.787149999996</v>
      </c>
      <c r="F34" s="1"/>
      <c r="G34" s="1"/>
      <c r="H34" s="1"/>
      <c r="I34" s="1"/>
      <c r="J34" s="1"/>
      <c r="K34" s="1"/>
    </row>
    <row r="35" spans="1:11" x14ac:dyDescent="0.25">
      <c r="A35" s="54"/>
      <c r="B35" s="54"/>
      <c r="C35" s="54"/>
      <c r="D35" s="54"/>
      <c r="E35" s="55"/>
      <c r="F35" s="1"/>
      <c r="G35" s="1"/>
      <c r="H35" s="1"/>
      <c r="I35" s="1"/>
      <c r="J35" s="1"/>
      <c r="K35" s="1"/>
    </row>
    <row r="36" spans="1:11" ht="15.75" x14ac:dyDescent="0.25">
      <c r="A36" s="81" t="s">
        <v>96</v>
      </c>
      <c r="B36" s="81"/>
      <c r="C36" s="81"/>
      <c r="D36" s="81"/>
      <c r="E36" s="71">
        <f>SUM(Tabela14[D C(R$)])+SUM(Tabela146[D C(R$)])</f>
        <v>36178.487099999998</v>
      </c>
      <c r="F36" s="1"/>
      <c r="G36" s="1"/>
      <c r="H36" s="1"/>
      <c r="I36" s="1"/>
      <c r="J36" s="1"/>
      <c r="K36" s="1"/>
    </row>
    <row r="37" spans="1:11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thickBot="1" x14ac:dyDescent="0.3">
      <c r="A38" s="92" t="s">
        <v>53</v>
      </c>
      <c r="B38" s="93"/>
      <c r="C38" s="93"/>
      <c r="D38" s="93"/>
      <c r="E38" s="93"/>
      <c r="F38" s="93"/>
      <c r="G38" s="94"/>
      <c r="H38" s="1"/>
      <c r="I38" s="1"/>
      <c r="J38" s="1"/>
      <c r="K38" s="1"/>
    </row>
    <row r="39" spans="1:11" ht="15.75" thickBot="1" x14ac:dyDescent="0.3">
      <c r="A39" s="56" t="s">
        <v>51</v>
      </c>
      <c r="B39" s="57">
        <f>'Modalidade Verde'!E7</f>
        <v>13.786999999999999</v>
      </c>
      <c r="C39" s="56" t="s">
        <v>52</v>
      </c>
      <c r="D39" s="57">
        <f>'Modalidade Verde'!D7</f>
        <v>6.8934999999999995</v>
      </c>
      <c r="E39" s="73"/>
      <c r="F39" s="73"/>
      <c r="G39" s="72"/>
      <c r="H39" s="1"/>
      <c r="I39" s="1"/>
      <c r="J39" s="1"/>
      <c r="K39" s="1"/>
    </row>
    <row r="40" spans="1:11" ht="15.75" thickBot="1" x14ac:dyDescent="0.3">
      <c r="A40" s="59" t="s">
        <v>1</v>
      </c>
      <c r="B40" s="60" t="s">
        <v>2</v>
      </c>
      <c r="C40" s="60" t="s">
        <v>45</v>
      </c>
      <c r="D40" s="60" t="s">
        <v>49</v>
      </c>
      <c r="E40" s="61" t="s">
        <v>50</v>
      </c>
      <c r="F40" s="74" t="s">
        <v>3</v>
      </c>
      <c r="G40" s="58" t="s">
        <v>4</v>
      </c>
      <c r="H40" s="1"/>
      <c r="I40" s="1"/>
      <c r="J40" s="1"/>
      <c r="K40" s="1"/>
    </row>
    <row r="41" spans="1:11" x14ac:dyDescent="0.25">
      <c r="A41" s="62">
        <v>42370</v>
      </c>
      <c r="B41" s="20">
        <f>'Modalidade Verde'!B9</f>
        <v>439.8</v>
      </c>
      <c r="C41" s="63">
        <f t="shared" ref="C41:C52" si="6">B41-$F$6</f>
        <v>-156.69999999999999</v>
      </c>
      <c r="D41" s="63">
        <f t="shared" ref="D41:D52" si="7">IF(C41&gt;0,$D$40*C41,0)</f>
        <v>0</v>
      </c>
      <c r="E41" s="64">
        <f t="shared" ref="E41:E52" si="8">IF(C41&lt;0,-$F$4*C41,0)</f>
        <v>3088.79205</v>
      </c>
      <c r="F41" s="69">
        <f>MAX(B41:B52)</f>
        <v>596.5</v>
      </c>
      <c r="G41" s="70">
        <f>F41/(1+G42)</f>
        <v>568.09523809523807</v>
      </c>
      <c r="H41" s="1"/>
      <c r="I41" s="1"/>
      <c r="J41" s="1"/>
      <c r="K41" s="1"/>
    </row>
    <row r="42" spans="1:11" x14ac:dyDescent="0.25">
      <c r="A42" s="62">
        <v>42401</v>
      </c>
      <c r="B42" s="20">
        <f>'Modalidade Verde'!B10</f>
        <v>533.4</v>
      </c>
      <c r="C42" s="63">
        <f t="shared" si="6"/>
        <v>-63.100000000000023</v>
      </c>
      <c r="D42" s="63">
        <f t="shared" si="7"/>
        <v>0</v>
      </c>
      <c r="E42" s="64">
        <f t="shared" si="8"/>
        <v>1243.7956500000005</v>
      </c>
      <c r="F42" s="84" t="s">
        <v>15</v>
      </c>
      <c r="G42" s="86">
        <v>0.05</v>
      </c>
      <c r="H42" s="1"/>
      <c r="I42" s="1"/>
      <c r="J42" s="1"/>
      <c r="K42" s="1"/>
    </row>
    <row r="43" spans="1:11" x14ac:dyDescent="0.25">
      <c r="A43" s="62">
        <v>42430</v>
      </c>
      <c r="B43" s="20">
        <f>'Modalidade Verde'!B11</f>
        <v>572</v>
      </c>
      <c r="C43" s="63">
        <f t="shared" si="6"/>
        <v>-24.5</v>
      </c>
      <c r="D43" s="63">
        <f t="shared" si="7"/>
        <v>0</v>
      </c>
      <c r="E43" s="64">
        <f t="shared" si="8"/>
        <v>482.93175000000002</v>
      </c>
      <c r="F43" s="84"/>
      <c r="G43" s="86"/>
      <c r="H43" s="1"/>
      <c r="I43" s="1"/>
      <c r="J43" s="1"/>
      <c r="K43" s="1"/>
    </row>
    <row r="44" spans="1:11" ht="15.75" thickBot="1" x14ac:dyDescent="0.3">
      <c r="A44" s="62">
        <v>42461</v>
      </c>
      <c r="B44" s="20">
        <f>'Modalidade Verde'!B12</f>
        <v>596.5</v>
      </c>
      <c r="C44" s="63">
        <f t="shared" si="6"/>
        <v>0</v>
      </c>
      <c r="D44" s="63">
        <f t="shared" si="7"/>
        <v>0</v>
      </c>
      <c r="E44" s="64">
        <f t="shared" si="8"/>
        <v>0</v>
      </c>
      <c r="F44" s="85"/>
      <c r="G44" s="87"/>
      <c r="H44" s="1"/>
      <c r="I44" s="1"/>
      <c r="J44" s="1"/>
      <c r="K44" s="1"/>
    </row>
    <row r="45" spans="1:11" x14ac:dyDescent="0.25">
      <c r="A45" s="62">
        <v>42491</v>
      </c>
      <c r="B45" s="20">
        <f>'Modalidade Verde'!B13</f>
        <v>557.29999999999995</v>
      </c>
      <c r="C45" s="63">
        <f t="shared" si="6"/>
        <v>-39.200000000000045</v>
      </c>
      <c r="D45" s="63">
        <f t="shared" si="7"/>
        <v>0</v>
      </c>
      <c r="E45" s="64">
        <f t="shared" si="8"/>
        <v>772.69080000000088</v>
      </c>
      <c r="F45" s="3"/>
      <c r="G45" s="2"/>
      <c r="H45" s="1"/>
      <c r="I45" s="1"/>
      <c r="J45" s="1"/>
      <c r="K45" s="1"/>
    </row>
    <row r="46" spans="1:11" x14ac:dyDescent="0.25">
      <c r="A46" s="62">
        <v>42522</v>
      </c>
      <c r="B46" s="20">
        <f>'Modalidade Verde'!B14</f>
        <v>434.9</v>
      </c>
      <c r="C46" s="63">
        <f t="shared" si="6"/>
        <v>-161.60000000000002</v>
      </c>
      <c r="D46" s="63">
        <f t="shared" si="7"/>
        <v>0</v>
      </c>
      <c r="E46" s="64">
        <f t="shared" si="8"/>
        <v>3185.3784000000005</v>
      </c>
      <c r="F46" s="3"/>
      <c r="G46" s="2"/>
      <c r="H46" s="1"/>
      <c r="I46" s="1"/>
      <c r="J46" s="1"/>
      <c r="K46" s="1"/>
    </row>
    <row r="47" spans="1:11" x14ac:dyDescent="0.25">
      <c r="A47" s="62">
        <v>42552</v>
      </c>
      <c r="B47" s="20">
        <f>'Modalidade Verde'!B15</f>
        <v>432.6</v>
      </c>
      <c r="C47" s="63">
        <f t="shared" si="6"/>
        <v>-163.89999999999998</v>
      </c>
      <c r="D47" s="63">
        <f t="shared" si="7"/>
        <v>0</v>
      </c>
      <c r="E47" s="64">
        <f t="shared" si="8"/>
        <v>3230.7148499999998</v>
      </c>
      <c r="F47" s="3"/>
      <c r="G47" s="2"/>
      <c r="H47" s="1"/>
      <c r="I47" s="1"/>
      <c r="J47" s="1"/>
      <c r="K47" s="1"/>
    </row>
    <row r="48" spans="1:11" x14ac:dyDescent="0.25">
      <c r="A48" s="62">
        <v>42583</v>
      </c>
      <c r="B48" s="20">
        <f>'Modalidade Verde'!B16</f>
        <v>428.8</v>
      </c>
      <c r="C48" s="63">
        <f t="shared" si="6"/>
        <v>-167.7</v>
      </c>
      <c r="D48" s="63">
        <f t="shared" si="7"/>
        <v>0</v>
      </c>
      <c r="E48" s="64">
        <f t="shared" si="8"/>
        <v>3305.6185500000001</v>
      </c>
      <c r="F48" s="2"/>
      <c r="G48" s="2"/>
      <c r="H48" s="1"/>
      <c r="I48" s="1"/>
      <c r="J48" s="1"/>
      <c r="K48" s="1"/>
    </row>
    <row r="49" spans="1:11" x14ac:dyDescent="0.25">
      <c r="A49" s="62">
        <v>42614</v>
      </c>
      <c r="B49" s="20">
        <f>'Modalidade Verde'!B17</f>
        <v>503.1</v>
      </c>
      <c r="C49" s="63">
        <f t="shared" si="6"/>
        <v>-93.399999999999977</v>
      </c>
      <c r="D49" s="63">
        <f t="shared" si="7"/>
        <v>0</v>
      </c>
      <c r="E49" s="64">
        <f t="shared" si="8"/>
        <v>1841.0540999999996</v>
      </c>
      <c r="F49" s="2"/>
      <c r="G49" s="4"/>
      <c r="H49" s="1"/>
      <c r="I49" s="1"/>
      <c r="J49" s="1"/>
      <c r="K49" s="1"/>
    </row>
    <row r="50" spans="1:11" x14ac:dyDescent="0.25">
      <c r="A50" s="62">
        <v>42644</v>
      </c>
      <c r="B50" s="20">
        <f>'Modalidade Verde'!B18</f>
        <v>463.1</v>
      </c>
      <c r="C50" s="63">
        <f t="shared" si="6"/>
        <v>-133.39999999999998</v>
      </c>
      <c r="D50" s="63">
        <f t="shared" si="7"/>
        <v>0</v>
      </c>
      <c r="E50" s="64">
        <f t="shared" si="8"/>
        <v>2629.5140999999999</v>
      </c>
      <c r="F50" s="2"/>
      <c r="G50" s="2"/>
      <c r="H50" s="1"/>
      <c r="I50" s="1"/>
      <c r="J50" s="1"/>
      <c r="K50" s="1"/>
    </row>
    <row r="51" spans="1:11" x14ac:dyDescent="0.25">
      <c r="A51" s="62">
        <v>42675</v>
      </c>
      <c r="B51" s="20">
        <f>'Modalidade Verde'!B19</f>
        <v>581.1</v>
      </c>
      <c r="C51" s="63">
        <f t="shared" si="6"/>
        <v>-15.399999999999977</v>
      </c>
      <c r="D51" s="63">
        <f t="shared" si="7"/>
        <v>0</v>
      </c>
      <c r="E51" s="64">
        <f t="shared" si="8"/>
        <v>303.55709999999959</v>
      </c>
      <c r="F51" s="2"/>
      <c r="G51" s="2"/>
      <c r="H51" s="1"/>
      <c r="I51" s="1"/>
      <c r="J51" s="1"/>
      <c r="K51" s="1"/>
    </row>
    <row r="52" spans="1:11" x14ac:dyDescent="0.25">
      <c r="A52" s="65">
        <v>42705</v>
      </c>
      <c r="B52" s="66">
        <f>'Modalidade Verde'!B20</f>
        <v>581.1</v>
      </c>
      <c r="C52" s="67">
        <f t="shared" si="6"/>
        <v>-15.399999999999977</v>
      </c>
      <c r="D52" s="67">
        <f t="shared" si="7"/>
        <v>0</v>
      </c>
      <c r="E52" s="68">
        <f t="shared" si="8"/>
        <v>303.55709999999959</v>
      </c>
      <c r="F52" s="2"/>
      <c r="G52" s="2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81" t="s">
        <v>97</v>
      </c>
      <c r="B54" s="81"/>
      <c r="C54" s="81"/>
      <c r="D54" s="81"/>
      <c r="E54" s="71">
        <f>SUM(E41:E52)</f>
        <v>20387.604449999999</v>
      </c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</row>
    <row r="91" spans="1:11" x14ac:dyDescent="0.25">
      <c r="A91" s="1"/>
      <c r="B91" s="1"/>
      <c r="C91" s="1"/>
      <c r="D91" s="1"/>
      <c r="E91" s="1"/>
      <c r="F91" s="1"/>
      <c r="G91" s="1"/>
    </row>
  </sheetData>
  <sheetProtection sheet="1" objects="1" scenarios="1"/>
  <mergeCells count="15">
    <mergeCell ref="A54:D54"/>
    <mergeCell ref="A1:G1"/>
    <mergeCell ref="A2:G2"/>
    <mergeCell ref="A18:D18"/>
    <mergeCell ref="A34:D34"/>
    <mergeCell ref="F42:F44"/>
    <mergeCell ref="G42:G44"/>
    <mergeCell ref="A3:G3"/>
    <mergeCell ref="F7:F9"/>
    <mergeCell ref="G7:G9"/>
    <mergeCell ref="F23:F25"/>
    <mergeCell ref="G23:G25"/>
    <mergeCell ref="A38:G38"/>
    <mergeCell ref="A4:B4"/>
    <mergeCell ref="A36:D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>
      <selection activeCell="B8" sqref="B8"/>
    </sheetView>
  </sheetViews>
  <sheetFormatPr defaultRowHeight="15" x14ac:dyDescent="0.25"/>
  <cols>
    <col min="2" max="2" width="22.42578125" customWidth="1"/>
  </cols>
  <sheetData>
    <row r="3" spans="2:6" x14ac:dyDescent="0.25">
      <c r="B3" s="97" t="s">
        <v>61</v>
      </c>
      <c r="C3" s="98"/>
      <c r="D3" s="98"/>
      <c r="E3" s="98"/>
      <c r="F3" s="99"/>
    </row>
    <row r="4" spans="2:6" x14ac:dyDescent="0.25">
      <c r="B4" s="100" t="s">
        <v>57</v>
      </c>
      <c r="C4" s="101"/>
      <c r="D4" s="101"/>
      <c r="E4" s="101"/>
      <c r="F4" s="102"/>
    </row>
    <row r="5" spans="2:6" x14ac:dyDescent="0.25">
      <c r="B5" s="103" t="s">
        <v>60</v>
      </c>
      <c r="C5" s="104"/>
      <c r="D5" s="104"/>
      <c r="E5" s="104"/>
      <c r="F5" s="105"/>
    </row>
    <row r="6" spans="2:6" x14ac:dyDescent="0.25">
      <c r="B6" s="106" t="s">
        <v>98</v>
      </c>
      <c r="C6" s="107"/>
      <c r="D6" s="107"/>
      <c r="E6" s="107"/>
      <c r="F6" s="108"/>
    </row>
    <row r="7" spans="2:6" x14ac:dyDescent="0.25">
      <c r="B7" s="106" t="s">
        <v>99</v>
      </c>
      <c r="C7" s="107"/>
      <c r="D7" s="107"/>
      <c r="E7" s="107"/>
      <c r="F7" s="108"/>
    </row>
  </sheetData>
  <mergeCells count="5">
    <mergeCell ref="B3:F3"/>
    <mergeCell ref="B4:F4"/>
    <mergeCell ref="B5:F5"/>
    <mergeCell ref="B6:F6"/>
    <mergeCell ref="B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Resultados Simulações</vt:lpstr>
      <vt:lpstr>Demanda Contratada</vt:lpstr>
      <vt:lpstr>Modalidade Azul</vt:lpstr>
      <vt:lpstr>Modalidade Verde</vt:lpstr>
      <vt:lpstr>Modalidade Convencional</vt:lpstr>
      <vt:lpstr>Baixa Tensão</vt:lpstr>
      <vt:lpstr>Custos Demanda Não Utilizada</vt:lpstr>
      <vt:lpstr>Apoio</vt:lpstr>
      <vt:lpstr>'Baixa Tensão'!Area_de_impressao</vt:lpstr>
      <vt:lpstr>'Modalidade Azul'!Area_de_impressao</vt:lpstr>
      <vt:lpstr>'Modalidade Convencional'!Area_de_impressao</vt:lpstr>
      <vt:lpstr>'Modalidade Verde'!Area_de_impressao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Vasconcelos</dc:creator>
  <cp:lastModifiedBy>Marcelo Barreto</cp:lastModifiedBy>
  <cp:lastPrinted>2016-11-14T16:23:27Z</cp:lastPrinted>
  <dcterms:created xsi:type="dcterms:W3CDTF">2016-09-21T18:34:16Z</dcterms:created>
  <dcterms:modified xsi:type="dcterms:W3CDTF">2017-02-10T13:06:13Z</dcterms:modified>
</cp:coreProperties>
</file>